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mc:AlternateContent xmlns:mc="http://schemas.openxmlformats.org/markup-compatibility/2006">
    <mc:Choice Requires="x15">
      <x15ac:absPath xmlns:x15ac="http://schemas.microsoft.com/office/spreadsheetml/2010/11/ac" url="C:\100220 tool - fixed\"/>
    </mc:Choice>
  </mc:AlternateContent>
  <xr:revisionPtr revIDLastSave="0" documentId="13_ncr:1_{DC585232-A6D0-4088-AF9B-B1DBDCDAC15B}" xr6:coauthVersionLast="44" xr6:coauthVersionMax="44" xr10:uidLastSave="{00000000-0000-0000-0000-000000000000}"/>
  <workbookProtection workbookAlgorithmName="SHA-512" workbookHashValue="+saJaG9tIcCemCPRQuwvfdjsfXTbYPSxnCMbQFX3PLlChtXWfnXrgPseY+g4iu/lQsApdcJt4HD3Sy6csw2+VQ==" workbookSaltValue="TiFEeR6jiPsoPwxcDVualg==" workbookSpinCount="100000" lockStructure="1"/>
  <bookViews>
    <workbookView xWindow="-120" yWindow="-120" windowWidth="20730" windowHeight="11160" tabRatio="862" firstSheet="3" activeTab="3" xr2:uid="{00000000-000D-0000-FFFF-FFFF00000000}"/>
  </bookViews>
  <sheets>
    <sheet name="Classification" sheetId="13" state="hidden" r:id="rId1"/>
    <sheet name="Lookups" sheetId="4" state="hidden" r:id="rId2"/>
    <sheet name="BMScale" sheetId="20" state="hidden" r:id="rId3"/>
    <sheet name="InteractiveReadyReckoner" sheetId="40" r:id="rId4"/>
    <sheet name="MAT01_ConceptDesign" sheetId="7" state="hidden" r:id="rId5"/>
    <sheet name="MAT01_TechnicalDesign" sheetId="37" state="hidden" r:id="rId6"/>
    <sheet name="MAT02_EPDSchedule" sheetId="6" state="hidden" r:id="rId7"/>
    <sheet name="MAT01_FileStructureGuide" sheetId="39" state="hidden" r:id="rId8"/>
    <sheet name="ToolsRecognisedbyBREEAM" sheetId="18" r:id="rId9"/>
    <sheet name="DifferencesID2,3,4" sheetId="14" state="hidden" r:id="rId10"/>
    <sheet name="DifferencesID7,8,9,10" sheetId="31" state="hidden" r:id="rId11"/>
    <sheet name="DifferencesID12,13" sheetId="32" state="hidden" r:id="rId12"/>
    <sheet name="DifferencesID15,16" sheetId="38" state="hidden" r:id="rId13"/>
    <sheet name="oldShedule of changes ST" sheetId="36" state="hidden" r:id="rId14"/>
    <sheet name="oldShedule of changes RR" sheetId="42" state="hidden" r:id="rId15"/>
    <sheet name="Schedule of changes_RS" sheetId="43" state="hidden" r:id="rId16"/>
    <sheet name="Schedule of changes" sheetId="44" r:id="rId17"/>
  </sheets>
  <definedNames>
    <definedName name="_xlnm._FilterDatabase" localSheetId="15" hidden="1">'Schedule of changes_RS'!$F$4:$O$4</definedName>
    <definedName name="_xlcn.LinkedTable_Table11" hidden="1">Table1</definedName>
    <definedName name="Building_type">MAT01_ConceptDesign!$J$10</definedName>
    <definedName name="BUT">Lookups!$B$10:$B$23</definedName>
    <definedName name="BUTBenchmarks">Lookups!$B$10:$G$23</definedName>
    <definedName name="Class_P1">Classification!$B$23</definedName>
    <definedName name="Class_P2">Classification!$B$21</definedName>
    <definedName name="Class_P232">Classification!$B$26</definedName>
    <definedName name="Class_P3">Classification!$B$24</definedName>
    <definedName name="Class_P314">Classification!$B$27</definedName>
    <definedName name="Class_P33">Classification!$B$25</definedName>
    <definedName name="Class_P34">Classification!$B$29</definedName>
    <definedName name="Class_P4">Classification!$B$22</definedName>
    <definedName name="Class_P5">Classification!$B$20</definedName>
    <definedName name="Class_P6">Classification!$B$30</definedName>
    <definedName name="Class_P7">Classification!$B$28</definedName>
    <definedName name="Class_P8">Classification!$B$31</definedName>
    <definedName name="CreditsBMMinimum">BMScale!$B$5</definedName>
    <definedName name="CreditsBMScale">BMScale!$B$5:$D$24</definedName>
    <definedName name="CreditsS2BM">Lookups!$C$27:$G$29</definedName>
    <definedName name="CreditsS2NoBM">Lookups!$C$30:$G$32</definedName>
    <definedName name="CreditsS4BM">Lookups!$C$27:$I$29</definedName>
    <definedName name="CreditsS4NoBM">Lookups!$C$30:$I$32</definedName>
    <definedName name="EPD">Lookups!$B$50:$B$52</definedName>
    <definedName name="EPDPoints">Lookups!$B$50:$C$52</definedName>
    <definedName name="FunctionalUnit">Lookups!$B$10:$E$23</definedName>
    <definedName name="Mat02_P1">MAT02_EPDSchedule!$K$9</definedName>
    <definedName name="Mat02_P3">MAT02_EPDSchedule!$L$9</definedName>
    <definedName name="Mat02_P34">MAT02_EPDSchedule!$N$9</definedName>
    <definedName name="Mat02_P7">MAT02_EPDSchedule!$M$9</definedName>
    <definedName name="Note_CD_Benchmark_file">Lookups!$B$57</definedName>
    <definedName name="Note_DD_benchmark_file">Lookups!$B$59</definedName>
    <definedName name="Note_No_CDBenchmark">Lookups!$B$58</definedName>
    <definedName name="Note_No_DDBenchmark">Lookups!$B$60</definedName>
    <definedName name="ProductCat">Classification!$B$20:$B$31</definedName>
    <definedName name="ReasonForNotChoosing">Lookups!$B$36:$B$44</definedName>
    <definedName name="RecognisedTools">ToolsRecognisedbyBREEAM!$B$10:$B$17</definedName>
    <definedName name="RecognisedToolsBM">ToolsRecognisedbyBREEAM!$AM$10:$AM$17</definedName>
    <definedName name="RecognisedToolsEnvImpactComparisonUnit">ToolsRecognisedbyBREEAM!$B$10:$J$17</definedName>
    <definedName name="RecognisedToolsIndicatorsAndCaps">Lookups!$C$27:$C$29</definedName>
    <definedName name="RecognisedToolsRIBA4">ToolsRecognisedbyBREEAM!$AN$10:$AN$17</definedName>
    <definedName name="RIBAStage2Options">MAT01_ConceptDesign!$B$51:$B$54</definedName>
    <definedName name="RIBAStage2OptionsServ">MAT01_ConceptDesign!$B$94:$B$96</definedName>
    <definedName name="RIBAStage2SSandHLOptions">MAT01_ConceptDesign!$B$72:$B$77</definedName>
    <definedName name="RIBAStage3or4Options">MAT01_TechnicalDesign!$B$49:$B$51</definedName>
    <definedName name="SelectedToolBM">MAT01_ConceptDesign!$J$15</definedName>
    <definedName name="SelectedToolBMRIBAStage4">MAT01_TechnicalDesign!$J$15</definedName>
    <definedName name="SelectedToolEnvImpactComparionUnit">MAT01_ConceptDesign!$J$27</definedName>
    <definedName name="SelectedToolOA">MAT01_ConceptDesign!$J$22</definedName>
    <definedName name="SelectedToolOARIBAStage4">MAT01_TechnicalDesign!$J$20</definedName>
    <definedName name="SS_Bench_note">MAT01_ConceptDesign!$B$34</definedName>
    <definedName name="SS_Scope">Lookups!$H$9:$O$23</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1-04a04c1a-c476-4dcf-8323-60e7dd425174" name="Table1" connection="LinkedTable_Table1"/>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71" i="37" l="1"/>
  <c r="J72" i="37"/>
  <c r="J70" i="37"/>
  <c r="J56" i="37"/>
  <c r="O50" i="37"/>
  <c r="O51" i="37"/>
  <c r="O49" i="37"/>
  <c r="J12" i="37"/>
  <c r="J115" i="7"/>
  <c r="J114" i="7"/>
  <c r="J113" i="7"/>
  <c r="P95" i="7"/>
  <c r="P96" i="7"/>
  <c r="O95" i="7"/>
  <c r="O96" i="7"/>
  <c r="P94" i="7"/>
  <c r="O94" i="7"/>
  <c r="P73" i="7"/>
  <c r="P74" i="7"/>
  <c r="P75" i="7"/>
  <c r="P76" i="7"/>
  <c r="P77" i="7"/>
  <c r="O73" i="7"/>
  <c r="O74" i="7"/>
  <c r="O75" i="7"/>
  <c r="O76" i="7"/>
  <c r="O77" i="7"/>
  <c r="P72" i="7"/>
  <c r="O72" i="7"/>
  <c r="J59" i="7"/>
  <c r="O52" i="7"/>
  <c r="O53" i="7"/>
  <c r="O54" i="7"/>
  <c r="O51" i="7"/>
  <c r="D15" i="40"/>
  <c r="J12" i="7"/>
  <c r="J15" i="18" l="1"/>
  <c r="J13" i="18"/>
  <c r="J11" i="18"/>
  <c r="J10" i="18"/>
  <c r="O9" i="4" l="1"/>
  <c r="N9" i="4"/>
  <c r="M9" i="4"/>
  <c r="L9" i="4"/>
  <c r="K9" i="4"/>
  <c r="J9" i="4"/>
  <c r="I9" i="4"/>
  <c r="K31" i="4" l="1"/>
  <c r="K28" i="4"/>
  <c r="B37" i="37" l="1"/>
  <c r="B40" i="7"/>
  <c r="C20" i="6"/>
  <c r="C19" i="6"/>
  <c r="C16" i="6"/>
  <c r="C17" i="6"/>
  <c r="C15" i="6"/>
  <c r="N9" i="6"/>
  <c r="M9" i="6"/>
  <c r="L9" i="6"/>
  <c r="K9" i="6"/>
  <c r="C13" i="6"/>
  <c r="C12" i="6"/>
  <c r="C11" i="6"/>
  <c r="B13" i="6"/>
  <c r="B20" i="6"/>
  <c r="B19" i="6"/>
  <c r="B17" i="6"/>
  <c r="B16" i="6"/>
  <c r="B15" i="6"/>
  <c r="B11" i="6"/>
  <c r="C18" i="6" l="1"/>
  <c r="C14" i="6"/>
  <c r="B2" i="42" l="1"/>
  <c r="C58" i="40" l="1"/>
  <c r="B58" i="40" s="1"/>
  <c r="C9" i="40" l="1"/>
  <c r="C8" i="40"/>
  <c r="L75" i="40"/>
  <c r="J74" i="37" s="1"/>
  <c r="L68" i="40"/>
  <c r="P51" i="37" s="1"/>
  <c r="L67" i="40"/>
  <c r="P50" i="37" s="1"/>
  <c r="L66" i="40"/>
  <c r="P49" i="37" s="1"/>
  <c r="L64" i="40"/>
  <c r="J19" i="37" s="1"/>
  <c r="L63" i="40"/>
  <c r="J20" i="37" s="1"/>
  <c r="L55" i="40"/>
  <c r="L54" i="40"/>
  <c r="J15" i="37" s="1"/>
  <c r="B30" i="37" s="1"/>
  <c r="L50" i="40"/>
  <c r="J117" i="7" s="1"/>
  <c r="H46" i="40"/>
  <c r="L29" i="40"/>
  <c r="P54" i="7" s="1"/>
  <c r="L28" i="40"/>
  <c r="P53" i="7" s="1"/>
  <c r="L27" i="40"/>
  <c r="P52" i="7" s="1"/>
  <c r="L26" i="40"/>
  <c r="P51" i="7" s="1"/>
  <c r="L25" i="40"/>
  <c r="L24" i="40"/>
  <c r="J20" i="7" s="1"/>
  <c r="B67" i="7" s="1"/>
  <c r="L23" i="40"/>
  <c r="J19" i="7" s="1"/>
  <c r="L22" i="40"/>
  <c r="J22" i="7" s="1"/>
  <c r="L14" i="40"/>
  <c r="L13" i="40"/>
  <c r="J15" i="7" s="1"/>
  <c r="B34" i="7" s="1"/>
  <c r="L9" i="40"/>
  <c r="J11" i="7" s="1"/>
  <c r="L8" i="40"/>
  <c r="J10" i="7" s="1"/>
  <c r="J21" i="7" l="1"/>
  <c r="B89" i="7" s="1"/>
  <c r="B16" i="7"/>
  <c r="B24" i="37"/>
  <c r="H30" i="40"/>
  <c r="H69" i="40"/>
  <c r="AN11" i="18" l="1"/>
  <c r="AM11" i="18"/>
  <c r="J22" i="37" l="1"/>
  <c r="J21" i="37"/>
  <c r="J26" i="7"/>
  <c r="J25" i="7"/>
  <c r="J24" i="7"/>
  <c r="J23" i="7"/>
  <c r="AN16" i="18" l="1"/>
  <c r="AM16" i="18"/>
  <c r="J16" i="18"/>
  <c r="J14" i="18" l="1"/>
  <c r="B52" i="37" l="1"/>
  <c r="J12" i="18" l="1"/>
  <c r="AM10" i="18" l="1"/>
  <c r="AN15" i="18"/>
  <c r="AN14" i="18"/>
  <c r="AN13" i="18"/>
  <c r="AN12" i="18"/>
  <c r="AN10" i="18"/>
  <c r="J11" i="37" l="1"/>
  <c r="B17" i="7"/>
  <c r="C17" i="40" s="1"/>
  <c r="C16" i="40"/>
  <c r="B2" i="36" l="1"/>
  <c r="B2" i="38"/>
  <c r="B2" i="32"/>
  <c r="B2" i="31"/>
  <c r="B2" i="14"/>
  <c r="B2" i="18"/>
  <c r="B2" i="6"/>
  <c r="B2" i="37"/>
  <c r="B98" i="7" l="1"/>
  <c r="B79" i="7"/>
  <c r="B55" i="7"/>
  <c r="B44" i="37"/>
  <c r="B47" i="7"/>
  <c r="E34" i="37" l="1"/>
  <c r="L33" i="37"/>
  <c r="K33" i="37"/>
  <c r="J33" i="37"/>
  <c r="I33" i="37"/>
  <c r="H33" i="37"/>
  <c r="G33" i="37"/>
  <c r="F33" i="37"/>
  <c r="M34" i="37" l="1"/>
  <c r="J37" i="37" s="1"/>
  <c r="E38" i="7" l="1"/>
  <c r="L37" i="7" l="1"/>
  <c r="K37" i="7"/>
  <c r="J37" i="7"/>
  <c r="I37" i="7"/>
  <c r="H37" i="7"/>
  <c r="G37" i="7"/>
  <c r="F37" i="7"/>
  <c r="M38" i="7" l="1"/>
  <c r="J40" i="7" s="1"/>
  <c r="J41" i="7" l="1"/>
  <c r="J42" i="7" s="1"/>
  <c r="A74" i="37"/>
  <c r="A72" i="37"/>
  <c r="A71" i="37"/>
  <c r="A70" i="37"/>
  <c r="A117" i="7"/>
  <c r="A115" i="7"/>
  <c r="A114" i="7"/>
  <c r="A113" i="7"/>
  <c r="A52" i="37" l="1"/>
  <c r="B97" i="7"/>
  <c r="B78" i="7"/>
  <c r="S51" i="37"/>
  <c r="S50" i="37"/>
  <c r="S49" i="37"/>
  <c r="S96" i="7"/>
  <c r="S95" i="7"/>
  <c r="S94" i="7"/>
  <c r="S54" i="7"/>
  <c r="S53" i="7"/>
  <c r="S52" i="7"/>
  <c r="S51" i="7"/>
  <c r="S77" i="7"/>
  <c r="S76" i="7"/>
  <c r="S75" i="7"/>
  <c r="S74" i="7"/>
  <c r="S73" i="7"/>
  <c r="S72" i="7"/>
  <c r="B51" i="38"/>
  <c r="B48" i="38"/>
  <c r="B45" i="38"/>
  <c r="B42" i="38"/>
  <c r="B39" i="38"/>
  <c r="B36" i="38"/>
  <c r="B33" i="38"/>
  <c r="B27" i="38"/>
  <c r="B24" i="38"/>
  <c r="B21" i="38"/>
  <c r="B18" i="38"/>
  <c r="B15" i="38"/>
  <c r="B12" i="38"/>
  <c r="B9" i="38"/>
  <c r="B75" i="14"/>
  <c r="B72" i="14"/>
  <c r="B69" i="14"/>
  <c r="B66" i="14"/>
  <c r="B63" i="14"/>
  <c r="B60" i="14"/>
  <c r="B57" i="14"/>
  <c r="B51" i="14"/>
  <c r="B48" i="14"/>
  <c r="B45" i="14"/>
  <c r="B42" i="14"/>
  <c r="B39" i="14"/>
  <c r="B36" i="14"/>
  <c r="B33" i="14"/>
  <c r="B13" i="7"/>
  <c r="B12" i="7"/>
  <c r="J10" i="37"/>
  <c r="B16" i="37" l="1"/>
  <c r="C56" i="40" s="1"/>
  <c r="B53" i="37"/>
  <c r="A53" i="37" s="1"/>
  <c r="B17" i="37"/>
  <c r="C57" i="40" s="1"/>
  <c r="B12" i="37"/>
  <c r="B13" i="37"/>
  <c r="J58" i="7"/>
  <c r="B59" i="7" s="1"/>
  <c r="B56" i="7"/>
  <c r="A56" i="7" s="1"/>
  <c r="J38" i="37"/>
  <c r="J55" i="37"/>
  <c r="J101" i="7"/>
  <c r="B80" i="7"/>
  <c r="A80" i="7" s="1"/>
  <c r="B99" i="7"/>
  <c r="A99" i="7" s="1"/>
  <c r="J82" i="7"/>
  <c r="J83" i="7"/>
  <c r="A10" i="37"/>
  <c r="H8" i="18"/>
  <c r="E8" i="18"/>
  <c r="J39" i="37" l="1"/>
  <c r="J40" i="37" s="1"/>
  <c r="F55" i="40" s="1"/>
  <c r="B56" i="37"/>
  <c r="C65" i="40"/>
  <c r="I229" i="6" l="1"/>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I93" i="6"/>
  <c r="I92" i="6"/>
  <c r="I91" i="6"/>
  <c r="I90" i="6"/>
  <c r="I89" i="6"/>
  <c r="I88" i="6"/>
  <c r="I87" i="6"/>
  <c r="I86" i="6"/>
  <c r="I85" i="6"/>
  <c r="I84" i="6"/>
  <c r="I83" i="6"/>
  <c r="I82" i="6"/>
  <c r="I81" i="6"/>
  <c r="I80" i="6"/>
  <c r="I79" i="6"/>
  <c r="I78" i="6"/>
  <c r="I77" i="6"/>
  <c r="I76" i="6"/>
  <c r="I75" i="6"/>
  <c r="I74" i="6"/>
  <c r="I73" i="6"/>
  <c r="I72" i="6"/>
  <c r="I71" i="6"/>
  <c r="I70" i="6"/>
  <c r="I69" i="6"/>
  <c r="I68" i="6"/>
  <c r="I67" i="6"/>
  <c r="I66" i="6"/>
  <c r="I65" i="6"/>
  <c r="I64" i="6"/>
  <c r="I63" i="6"/>
  <c r="I62" i="6"/>
  <c r="I61" i="6"/>
  <c r="I60" i="6"/>
  <c r="I59" i="6"/>
  <c r="I58" i="6"/>
  <c r="I57" i="6"/>
  <c r="I56" i="6"/>
  <c r="I55" i="6"/>
  <c r="I54" i="6"/>
  <c r="I53" i="6"/>
  <c r="I52" i="6"/>
  <c r="I51" i="6"/>
  <c r="I50" i="6"/>
  <c r="I49" i="6"/>
  <c r="I48" i="6"/>
  <c r="I47" i="6"/>
  <c r="I46" i="6"/>
  <c r="I45" i="6"/>
  <c r="I44" i="6"/>
  <c r="I43" i="6"/>
  <c r="I42" i="6"/>
  <c r="I41" i="6"/>
  <c r="I40" i="6"/>
  <c r="I39" i="6"/>
  <c r="I38" i="6"/>
  <c r="I37" i="6"/>
  <c r="I36" i="6"/>
  <c r="I35" i="6"/>
  <c r="I34" i="6"/>
  <c r="I33" i="6"/>
  <c r="I32" i="6"/>
  <c r="I31" i="6"/>
  <c r="I30" i="6"/>
  <c r="I29" i="6"/>
  <c r="B12" i="6"/>
  <c r="D15" i="6" l="1"/>
  <c r="D19" i="6"/>
  <c r="D11" i="6"/>
  <c r="D17" i="6"/>
  <c r="D13" i="6"/>
  <c r="D12" i="6"/>
  <c r="D16" i="6"/>
  <c r="D14" i="6"/>
  <c r="D20" i="6"/>
  <c r="D18" i="6"/>
  <c r="A55" i="7"/>
  <c r="A98" i="7"/>
  <c r="A79" i="7"/>
  <c r="D21" i="6" l="1"/>
  <c r="H21" i="6" s="1"/>
  <c r="AM12" i="18"/>
  <c r="AM13" i="18"/>
  <c r="AM14" i="18"/>
  <c r="AM15" i="18"/>
  <c r="B26" i="37" l="1"/>
  <c r="C67" i="40" s="1"/>
  <c r="B30" i="7"/>
  <c r="C44" i="40" s="1"/>
  <c r="S57" i="37"/>
  <c r="S60" i="7"/>
  <c r="J43" i="7"/>
  <c r="F15" i="40" s="1"/>
  <c r="A26" i="37" l="1"/>
  <c r="A30" i="7"/>
  <c r="B29" i="7"/>
  <c r="B25" i="37"/>
  <c r="A19" i="37"/>
  <c r="A12" i="37"/>
  <c r="B28" i="7"/>
  <c r="C42" i="40" s="1"/>
  <c r="A21" i="7"/>
  <c r="A20" i="7"/>
  <c r="A19" i="7"/>
  <c r="A12" i="7"/>
  <c r="A10" i="7"/>
  <c r="J23" i="37"/>
  <c r="A25" i="37" l="1"/>
  <c r="C66" i="40"/>
  <c r="A29" i="7"/>
  <c r="C43" i="40"/>
  <c r="A16" i="37"/>
  <c r="E46" i="37"/>
  <c r="F46" i="37" s="1"/>
  <c r="C30" i="31"/>
  <c r="C23" i="31"/>
  <c r="B24" i="31" s="1"/>
  <c r="C16" i="31"/>
  <c r="B17" i="31" s="1"/>
  <c r="C9" i="31"/>
  <c r="B10" i="31" s="1"/>
  <c r="A17" i="37"/>
  <c r="C29" i="31" l="1"/>
  <c r="B31" i="31"/>
  <c r="C8" i="31"/>
  <c r="C15" i="31"/>
  <c r="C22" i="31"/>
  <c r="J59" i="37"/>
  <c r="E49" i="37"/>
  <c r="E51" i="37" s="1"/>
  <c r="L47" i="37"/>
  <c r="K47" i="37"/>
  <c r="J47" i="37"/>
  <c r="I47" i="37"/>
  <c r="H47" i="37"/>
  <c r="G47" i="37"/>
  <c r="F47" i="37"/>
  <c r="B42" i="37"/>
  <c r="E50" i="37" l="1"/>
  <c r="M51" i="37" l="1"/>
  <c r="A17" i="7"/>
  <c r="A97" i="7"/>
  <c r="A28" i="7"/>
  <c r="A78" i="7"/>
  <c r="B57" i="37" l="1"/>
  <c r="A57" i="37" l="1"/>
  <c r="B4" i="37" s="1"/>
  <c r="C4" i="37" s="1"/>
  <c r="B90" i="7"/>
  <c r="B68" i="7"/>
  <c r="J60" i="37" l="1"/>
  <c r="F64" i="40" s="1"/>
  <c r="A68" i="7"/>
  <c r="C45" i="40"/>
  <c r="A90" i="7"/>
  <c r="C46" i="40"/>
  <c r="A16" i="7"/>
  <c r="J50" i="7"/>
  <c r="I50" i="7"/>
  <c r="F50" i="7"/>
  <c r="J27" i="7" l="1"/>
  <c r="E49" i="7" l="1"/>
  <c r="F49" i="7" s="1"/>
  <c r="E75" i="7"/>
  <c r="E72" i="7"/>
  <c r="E70" i="7"/>
  <c r="F70" i="7" s="1"/>
  <c r="I93" i="7"/>
  <c r="H93" i="7"/>
  <c r="G93" i="7"/>
  <c r="F71" i="7"/>
  <c r="B27" i="32" l="1"/>
  <c r="B12" i="32"/>
  <c r="B24" i="32"/>
  <c r="B9" i="32"/>
  <c r="B30" i="32"/>
  <c r="B15" i="32"/>
  <c r="G71" i="7"/>
  <c r="B33" i="32"/>
  <c r="B18" i="32"/>
  <c r="F93" i="7"/>
  <c r="E94" i="7"/>
  <c r="E92" i="7"/>
  <c r="F92" i="7" s="1"/>
  <c r="E73" i="7"/>
  <c r="E95" i="7" l="1"/>
  <c r="E74" i="7"/>
  <c r="E96" i="7"/>
  <c r="I30" i="4" l="1"/>
  <c r="H30" i="4"/>
  <c r="G30" i="4"/>
  <c r="F30" i="4"/>
  <c r="E30" i="4"/>
  <c r="I27" i="4"/>
  <c r="H27" i="4"/>
  <c r="G27" i="4"/>
  <c r="F27" i="4"/>
  <c r="E27" i="4"/>
  <c r="F31" i="4"/>
  <c r="H28" i="4"/>
  <c r="E28" i="4" l="1"/>
  <c r="I28" i="4"/>
  <c r="G31" i="4"/>
  <c r="F28" i="4"/>
  <c r="H31" i="4"/>
  <c r="G28" i="4"/>
  <c r="E31" i="4"/>
  <c r="I31" i="4"/>
  <c r="E51" i="7" l="1"/>
  <c r="F48" i="37" l="1"/>
  <c r="E77" i="7"/>
  <c r="E76" i="7" l="1"/>
  <c r="J62" i="7"/>
  <c r="B24" i="14" l="1"/>
  <c r="B21" i="14"/>
  <c r="B18" i="14"/>
  <c r="B12" i="14"/>
  <c r="B9" i="14"/>
  <c r="H50" i="7" l="1"/>
  <c r="L50" i="7"/>
  <c r="G50" i="7"/>
  <c r="K50" i="7"/>
  <c r="B15" i="14"/>
  <c r="B27" i="14"/>
  <c r="M77" i="7"/>
  <c r="E54" i="7"/>
  <c r="E53" i="7"/>
  <c r="E52" i="7"/>
  <c r="M76" i="7" l="1"/>
  <c r="M75" i="7"/>
  <c r="M94" i="7"/>
  <c r="M51" i="7" l="1"/>
  <c r="B60" i="7" s="1"/>
  <c r="H48" i="37"/>
  <c r="L48" i="37"/>
  <c r="G48" i="37"/>
  <c r="K48" i="37"/>
  <c r="J48" i="37"/>
  <c r="I48" i="37"/>
  <c r="M54" i="7"/>
  <c r="M96" i="7"/>
  <c r="M74" i="7"/>
  <c r="M95" i="7"/>
  <c r="M73" i="7"/>
  <c r="A60" i="7" l="1"/>
  <c r="B4" i="7" s="1"/>
  <c r="M52" i="7"/>
  <c r="C4" i="7" l="1"/>
  <c r="J63" i="7"/>
  <c r="F23" i="40" s="1"/>
  <c r="C80" i="40" s="1"/>
  <c r="M53" i="7"/>
  <c r="M48" i="37" s="1"/>
  <c r="J103" i="7" l="1"/>
  <c r="J85" i="7"/>
  <c r="F31" i="40" s="1"/>
  <c r="C85" i="40" s="1"/>
  <c r="M72" i="7"/>
  <c r="J64" i="37" l="1"/>
  <c r="F69" i="40" s="1"/>
  <c r="F38" i="40"/>
  <c r="J107" i="7"/>
  <c r="F84" i="40" l="1"/>
  <c r="B85" i="40"/>
  <c r="F79" i="40"/>
  <c r="B80" i="40"/>
  <c r="B4" i="40" l="1"/>
  <c r="C4" i="40" s="1"/>
  <c r="F87" i="4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Doran</author>
  </authors>
  <commentList>
    <comment ref="N3" authorId="0" shapeId="0" xr:uid="{31D3D5BF-ECCB-4345-9A6D-125E09943129}">
      <text>
        <r>
          <rPr>
            <b/>
            <sz val="16"/>
            <color indexed="81"/>
            <rFont val="Tahoma"/>
            <family val="2"/>
          </rPr>
          <t>HAVE YOU MADE CHANGES TO THE OPTION DATA FILES SINCE THEY WERE DOWNLOADED WITH THIS TOOL?</t>
        </r>
        <r>
          <rPr>
            <sz val="12"/>
            <color indexed="81"/>
            <rFont val="Tahoma"/>
            <family val="2"/>
          </rPr>
          <t xml:space="preserve">
Mat01_CD_BdServ_Opt1.xlsx
Mat01_CD_BdServ_Opt2.xlsx
Mat01_CD_BdServ_Opt3.xlsx
Mat01_CD_SubS_HL_Opt1.xlsx
Mat01_CD_SubS_HL_Opt2.xlsx
Mat01_CD_SubS_HL_Opt3.xlsx
Mat01_CD_SubS_HL_Opt4.xlsx
Mat01_CD_SubS_HL_Opt5.xlsx
Mat01_CD_SubS_HL_Opt6.xlsx
Mat01_CD_SuperS_B.xlsx
Mat01_CD_SuperS_Opt1.xlsx
Mat01_CD_SuperS_Opt2.xlsx
Mat01_CD_SuperS_Opt3.xlsx
Mat01_CD_SuperS_Opt4.xlsx
Mat01_DD_SuperS_B.xlsx
Mat01_DD_SuperS_Opt1.xlsx
Mat01_DD_SuperS_Opt2.xlsx
Mat01_DD_SuperS_Opt3.xlsx
Then ensure ALL option data files (used or unused (blank)) still have the correct filenames and are in the same folder as this tool. If an option data file does not have the correct filename or is not in the same folder as this tool </t>
        </r>
        <r>
          <rPr>
            <b/>
            <sz val="12"/>
            <color indexed="81"/>
            <rFont val="Tahoma"/>
            <family val="2"/>
          </rPr>
          <t>CLOSE THIS TOOL WITHOUT SAVING.</t>
        </r>
        <r>
          <rPr>
            <sz val="12"/>
            <color indexed="81"/>
            <rFont val="Tahoma"/>
            <family val="2"/>
          </rPr>
          <t xml:space="preserve">
(This is to ensure this tool can continue to read required information in the option data files correctly. See the 'Mat01_FileStructureGuide' sheet for more information.)
</t>
        </r>
        <r>
          <rPr>
            <b/>
            <sz val="12"/>
            <color indexed="81"/>
            <rFont val="Tahoma"/>
            <family val="2"/>
          </rPr>
          <t xml:space="preserve">
This note/comment may be hidden by right-clicking while on the 'IMPORTANT NOTE' cell and selecting the 'Show/Hide Note' (show/hide comment) button also found in the 'Review' menu.</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e1" type="102" refreshedVersion="5" minRefreshableVersion="5">
    <extLst>
      <ext xmlns:x15="http://schemas.microsoft.com/office/spreadsheetml/2010/11/main" uri="{DE250136-89BD-433C-8126-D09CA5730AF9}">
        <x15:connection id="Table1-04a04c1a-c476-4dcf-8323-60e7dd425174">
          <x15:rangePr sourceName="_xlcn.LinkedTable_Table11"/>
        </x15:connection>
      </ext>
    </extLst>
  </connection>
  <connection id="2" xr16:uid="{00000000-0015-0000-FFFF-FFFF01000000}"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<sst xmlns="http://schemas.openxmlformats.org/spreadsheetml/2006/main" count="820" uniqueCount="349">
  <si>
    <t>ISO 14025</t>
  </si>
  <si>
    <t>ISO 21930</t>
  </si>
  <si>
    <t>EN 15804</t>
  </si>
  <si>
    <t>EPD types</t>
  </si>
  <si>
    <t>ID</t>
  </si>
  <si>
    <t>Name</t>
  </si>
  <si>
    <t>Design option</t>
  </si>
  <si>
    <t>Link</t>
  </si>
  <si>
    <t>EPD evidence (e.g. URL/link to certificate)</t>
  </si>
  <si>
    <t>n/a</t>
  </si>
  <si>
    <t>Change 1</t>
  </si>
  <si>
    <t>Total</t>
  </si>
  <si>
    <t>Insert more rows if required</t>
  </si>
  <si>
    <t>Yes</t>
  </si>
  <si>
    <t>Tool name</t>
  </si>
  <si>
    <t>Y</t>
  </si>
  <si>
    <t>N</t>
  </si>
  <si>
    <t>BREEAM Simplified building LCA tool</t>
  </si>
  <si>
    <t>Offices</t>
  </si>
  <si>
    <t>Retail</t>
  </si>
  <si>
    <t>Industrial</t>
  </si>
  <si>
    <t>Education</t>
  </si>
  <si>
    <t>Healthcare</t>
  </si>
  <si>
    <t>Prisons</t>
  </si>
  <si>
    <t>Law courts</t>
  </si>
  <si>
    <t>Multi-residential</t>
  </si>
  <si>
    <t>Residential institutions (short term stay)</t>
  </si>
  <si>
    <t>Non residential institutions</t>
  </si>
  <si>
    <t>Assembly and leisure</t>
  </si>
  <si>
    <t>Other</t>
  </si>
  <si>
    <t>Bespoke</t>
  </si>
  <si>
    <t>m2 net internal area</t>
  </si>
  <si>
    <t>FU2</t>
  </si>
  <si>
    <t>BUT</t>
  </si>
  <si>
    <t>N/A</t>
  </si>
  <si>
    <t>Number of units</t>
  </si>
  <si>
    <t>Benchmark</t>
  </si>
  <si>
    <t>No benchmark</t>
  </si>
  <si>
    <t>Options appraised</t>
  </si>
  <si>
    <t>Adjustment factor</t>
  </si>
  <si>
    <t>Range from</t>
  </si>
  <si>
    <t>points score</t>
  </si>
  <si>
    <t>Benchmarking Y/N</t>
  </si>
  <si>
    <t>Credits awarded</t>
  </si>
  <si>
    <t>No</t>
  </si>
  <si>
    <t>Superstructure - Options appraisal summary table</t>
  </si>
  <si>
    <t>Substructure and hard landscaping - Options appraisal summary table</t>
  </si>
  <si>
    <t>Credits awarded (exemplar)</t>
  </si>
  <si>
    <t>Assessment details</t>
  </si>
  <si>
    <t>Indicator 1</t>
  </si>
  <si>
    <t>Indicator 2</t>
  </si>
  <si>
    <t>Indicator 3</t>
  </si>
  <si>
    <t>Indicator 4</t>
  </si>
  <si>
    <t>Indicator used for comparisons</t>
  </si>
  <si>
    <t>Building LCA tools recognised by BREEAM</t>
  </si>
  <si>
    <t>Mat01_CD_SuperS_Opt1</t>
  </si>
  <si>
    <t>Mat01_CD_SuperS_Opt2</t>
  </si>
  <si>
    <t>Mat01_CD_SuperS_Opt3</t>
  </si>
  <si>
    <t>Mat01_CD_SuperS_Opt4</t>
  </si>
  <si>
    <t>Mat01_DD_SuperS_Opt1</t>
  </si>
  <si>
    <t>Mat01_DD_SuperS_Opt2</t>
  </si>
  <si>
    <t>Mat01_DD_SuperS_Opt3</t>
  </si>
  <si>
    <t>Mat01_CD_SubS_HL_Opt1</t>
  </si>
  <si>
    <t>Mat01_CD_SubS_HL_Opt2</t>
  </si>
  <si>
    <t>Mat01_CD_SubS_HL_Opt3</t>
  </si>
  <si>
    <t>Mat01_CD_SubS_HL_Opt4</t>
  </si>
  <si>
    <t>Mat01_CD_SubS_HL_Opt5</t>
  </si>
  <si>
    <t>Mat01_CD_SubS_HL_Opt6</t>
  </si>
  <si>
    <t>Mat01_CD_BdServ_Opt1</t>
  </si>
  <si>
    <t>Mat01_CD_BdServ_Opt2</t>
  </si>
  <si>
    <t>Mat01_CD_BdServ_Opt3</t>
  </si>
  <si>
    <t>Current version</t>
  </si>
  <si>
    <t>Release date</t>
  </si>
  <si>
    <t>Description of changes/additions to previous version resulting in current version</t>
  </si>
  <si>
    <t>Release version.</t>
  </si>
  <si>
    <t>Option data file link</t>
  </si>
  <si>
    <t>The following is completed for this option:-
- The option data file
- The Description of changes sheet</t>
  </si>
  <si>
    <t>Recognised by BREEAM for superstructure options appraisal at this stage</t>
  </si>
  <si>
    <t>N/A - Substructure 1st option</t>
  </si>
  <si>
    <t>N/A - Hard landscaping 1st option</t>
  </si>
  <si>
    <t>Not given planning permission</t>
  </si>
  <si>
    <t>Reasons for not selecting an option</t>
  </si>
  <si>
    <t>N/A - 1st option</t>
  </si>
  <si>
    <t>Prevented another sustainability factor being achieved</t>
  </si>
  <si>
    <t>Life cycle costs too high</t>
  </si>
  <si>
    <t>Capital cost &gt;0% and =&lt;10% more than lowest option</t>
  </si>
  <si>
    <t>Capital cost &gt;10% and =&lt;25% more than more than lowest option</t>
  </si>
  <si>
    <t>Capital cost &gt;25% more than lowest option</t>
  </si>
  <si>
    <t>Has superstructure option appraisal during Concept Design been done?</t>
  </si>
  <si>
    <t>Has substructure and hard landscaping options appraisal during Concept Design been done?</t>
  </si>
  <si>
    <t>Has core building services options appraisal during Concept Design been done?</t>
  </si>
  <si>
    <t>Range of indicators provided by tool:</t>
  </si>
  <si>
    <t>Tool recognised by BREEAM for superstructure option appraisal during Concept Design:</t>
  </si>
  <si>
    <t>Tool recognised by BREEAM for substructure and hard landscaping options appraisal during Concept Design:</t>
  </si>
  <si>
    <t>Tool Recognised by BREEAM for core building services options appraisal during Concept Design:</t>
  </si>
  <si>
    <t>Percentage better than benchmark:</t>
  </si>
  <si>
    <t>Credits awarded:</t>
  </si>
  <si>
    <t>BREEAM assessment building use type:</t>
  </si>
  <si>
    <t>Tool to use for options appraisal during Concept Design:</t>
  </si>
  <si>
    <t>Has superstructure option appraisal during Technical Design been done?</t>
  </si>
  <si>
    <t>Tool to use for options appraisal during Technical Design:</t>
  </si>
  <si>
    <t>Concept Design hard landscaping option selected:</t>
  </si>
  <si>
    <t>Total credit score at Concept Design:</t>
  </si>
  <si>
    <t>Core building services - Options appraisal summary table (exemplar)</t>
  </si>
  <si>
    <t>Concept Design results</t>
  </si>
  <si>
    <t>m3 internal space</t>
  </si>
  <si>
    <t>Number of children/students</t>
  </si>
  <si>
    <t>FU1 (for BM, based on NRM)</t>
  </si>
  <si>
    <t>n/a (no value required)</t>
  </si>
  <si>
    <t>number of cells</t>
  </si>
  <si>
    <t>number of courtrooms</t>
  </si>
  <si>
    <t>number of bedrooms</t>
  </si>
  <si>
    <t>number of bed spaces (hospitals)/consulting rooms (doctors'/dentists' surgeries)</t>
  </si>
  <si>
    <r>
      <t xml:space="preserve">Building LCA during </t>
    </r>
    <r>
      <rPr>
        <b/>
        <u/>
        <sz val="20"/>
        <color theme="0"/>
        <rFont val="Calibri"/>
        <family val="2"/>
        <scheme val="minor"/>
      </rPr>
      <t>Concept Design</t>
    </r>
    <r>
      <rPr>
        <b/>
        <sz val="12"/>
        <color theme="0"/>
        <rFont val="Calibri"/>
        <family val="2"/>
        <scheme val="minor"/>
      </rPr>
      <t xml:space="preserve"> (and pre detailed planning approval)</t>
    </r>
  </si>
  <si>
    <r>
      <t xml:space="preserve">Building LCA during </t>
    </r>
    <r>
      <rPr>
        <b/>
        <u/>
        <sz val="20"/>
        <color theme="0"/>
        <rFont val="Calibri"/>
        <family val="2"/>
        <scheme val="minor"/>
      </rPr>
      <t>Technical Design</t>
    </r>
  </si>
  <si>
    <t>Total credit score at Technical Design (Final)</t>
  </si>
  <si>
    <t>Description of differences between each superstructure option</t>
  </si>
  <si>
    <t>ID 2</t>
  </si>
  <si>
    <t>ID 3</t>
  </si>
  <si>
    <t>ID 4</t>
  </si>
  <si>
    <t>Description of change compared with ID 1 (one row per change - insert more rows if required)</t>
  </si>
  <si>
    <t>Description of differences between substructure and hard landscaping options</t>
  </si>
  <si>
    <t>Description of differences between superstructure options</t>
  </si>
  <si>
    <t>Used?</t>
  </si>
  <si>
    <t>Description of differences between core building services options</t>
  </si>
  <si>
    <t>ID 7</t>
  </si>
  <si>
    <t>ID 8</t>
  </si>
  <si>
    <t>ID 9</t>
  </si>
  <si>
    <t>ID 10</t>
  </si>
  <si>
    <t>ID 12</t>
  </si>
  <si>
    <t>ID 13</t>
  </si>
  <si>
    <t>Description of change compared with ID 11 (one row per change - insert more rows if required)</t>
  </si>
  <si>
    <t>ID 15</t>
  </si>
  <si>
    <t>ID 16</t>
  </si>
  <si>
    <t>Description of change compared with ID 14 (one row per change - insert more rows if required)</t>
  </si>
  <si>
    <t>Materials category uniclass to BREEEAM mapping</t>
  </si>
  <si>
    <t>P5</t>
  </si>
  <si>
    <t>Timber or timber based</t>
  </si>
  <si>
    <t>P2</t>
  </si>
  <si>
    <t>Concrete or cementitious</t>
  </si>
  <si>
    <t>P4</t>
  </si>
  <si>
    <t>Metal</t>
  </si>
  <si>
    <t>P1</t>
  </si>
  <si>
    <t>Stone or aggregate</t>
  </si>
  <si>
    <t>P3</t>
  </si>
  <si>
    <t>P33</t>
  </si>
  <si>
    <t>Clay based</t>
  </si>
  <si>
    <t>P232</t>
  </si>
  <si>
    <t>Gypsum</t>
  </si>
  <si>
    <t>P314</t>
  </si>
  <si>
    <t>Glass</t>
  </si>
  <si>
    <t>P7</t>
  </si>
  <si>
    <t>Plastic, polymer, resin, paint, chemicals &amp; bituminous</t>
  </si>
  <si>
    <t>P34</t>
  </si>
  <si>
    <t>P6</t>
  </si>
  <si>
    <t>Animal fibre or skin, cellulose fibre</t>
  </si>
  <si>
    <t>P8</t>
  </si>
  <si>
    <t>Other materials</t>
  </si>
  <si>
    <t>Schedule of products with recognised EPD</t>
  </si>
  <si>
    <t>Product ID</t>
  </si>
  <si>
    <t>Product name / description</t>
  </si>
  <si>
    <t>Product type (generic)</t>
  </si>
  <si>
    <t>Product classification</t>
  </si>
  <si>
    <t>Technical Design (final) results</t>
  </si>
  <si>
    <t>BREEAM assessment building use type (selected on the Concept Design sheet for both Concept Design and Technical Design stages)</t>
  </si>
  <si>
    <t>Submission of the BREEAM MAT 01/02 Results Submission Tool to BREEAM by the end of Concept Design</t>
  </si>
  <si>
    <t>Submission of the BREEAM MAT 01/02 Results Submission Tool to BREEAM by the end of Technical Design</t>
  </si>
  <si>
    <t>Date the above sent to BREEAM during Concept Design:</t>
  </si>
  <si>
    <t>Where the product occurs in the MAT 01 building LCA submission, the following shall match the corresponding data in the relevant option file. If not, use the manufacturer's information.</t>
  </si>
  <si>
    <t>Tools</t>
  </si>
  <si>
    <t>Concept Design Sheet</t>
  </si>
  <si>
    <t>Technical Design Sheet</t>
  </si>
  <si>
    <t>MAT 02 EPD schedule sheet</t>
  </si>
  <si>
    <t>Option appraisal points for superstructure OA</t>
  </si>
  <si>
    <t>CO2e only (capped).</t>
  </si>
  <si>
    <t>CO2e AND other environmental categories. Simplified tool (capped).</t>
  </si>
  <si>
    <t>CO2e AND other environmental categories.</t>
  </si>
  <si>
    <t>Indicator 5</t>
  </si>
  <si>
    <t>Indicator 6</t>
  </si>
  <si>
    <t>Indicator 7</t>
  </si>
  <si>
    <t>Indicator 8</t>
  </si>
  <si>
    <t>Indicator 9</t>
  </si>
  <si>
    <t>Indicator 10</t>
  </si>
  <si>
    <t>Indicator 11</t>
  </si>
  <si>
    <t>Indicator 12</t>
  </si>
  <si>
    <t>Indicator 13</t>
  </si>
  <si>
    <t>Indicator 14</t>
  </si>
  <si>
    <t>Indicator 15</t>
  </si>
  <si>
    <t>Indicator 16</t>
  </si>
  <si>
    <t>Indicator 17</t>
  </si>
  <si>
    <t>Indicator 18</t>
  </si>
  <si>
    <t>Indicator 19</t>
  </si>
  <si>
    <t>Indicator 20</t>
  </si>
  <si>
    <t>Indicator 21</t>
  </si>
  <si>
    <t>Indicator 22</t>
  </si>
  <si>
    <t>Indicator 23</t>
  </si>
  <si>
    <t>Indicator 24</t>
  </si>
  <si>
    <t>Indicator 25</t>
  </si>
  <si>
    <t>Indicator 26</t>
  </si>
  <si>
    <t>Indicator 27</t>
  </si>
  <si>
    <t>RIBA 2 number of options done.</t>
  </si>
  <si>
    <t>RIBA 4 no. options done.</t>
  </si>
  <si>
    <t>Aesthetic preference for other option</t>
  </si>
  <si>
    <t>2.1 Frame</t>
  </si>
  <si>
    <t>2.2 Upper floors</t>
  </si>
  <si>
    <t>2.3 Roof</t>
  </si>
  <si>
    <t>2.4 Stairs and ramps</t>
  </si>
  <si>
    <t>2.5 External walls</t>
  </si>
  <si>
    <t>2.6 Windows and external doors</t>
  </si>
  <si>
    <t>2.7 Internal walls and partitions</t>
  </si>
  <si>
    <t>1.0 Substructure</t>
  </si>
  <si>
    <t>8.2 Roads, paths and pavings</t>
  </si>
  <si>
    <t>5.5.1 Heat source</t>
  </si>
  <si>
    <t>5.6 Space Heating and Air Conditioning</t>
  </si>
  <si>
    <t>5.7 Ventilation</t>
  </si>
  <si>
    <t>5.9 Fuel Installations / Systems</t>
  </si>
  <si>
    <t>NRM</t>
  </si>
  <si>
    <t>Has comparison with the BREEAM benchmark during Concept Design been done? Select tool used or leave blank.</t>
  </si>
  <si>
    <t>Environmental impact indicator used for comparisons:</t>
  </si>
  <si>
    <t>Description of changes sheet link</t>
  </si>
  <si>
    <t>Concept Design option results</t>
  </si>
  <si>
    <t>EPD applicable to more than one product in the same product category, and a more than one manufacturer</t>
  </si>
  <si>
    <t>EPD applicable to more than one product in the same product category, and a single manufacturer</t>
  </si>
  <si>
    <t>EPD applicable to a single product*, and a single manufacturer (the product may be manufactured in more than one location)
*Or variations of a single product that only differ in terms of colour or pattern.</t>
  </si>
  <si>
    <t>EPD SCOPE TYPE</t>
  </si>
  <si>
    <t>EPD Points</t>
  </si>
  <si>
    <t>EPD type (see manual)</t>
  </si>
  <si>
    <t>Product Classification</t>
  </si>
  <si>
    <t>Total points</t>
  </si>
  <si>
    <t>EPD data table</t>
  </si>
  <si>
    <t>EPD points score and credit award</t>
  </si>
  <si>
    <t>Total (&gt;= 20 required for 1 credit)</t>
  </si>
  <si>
    <t>Mat 02 credit score</t>
  </si>
  <si>
    <t>The following table shall be completed according to the technical manual.</t>
  </si>
  <si>
    <t>The scores shown in this table are based on the data entered into the EPD data table below.</t>
  </si>
  <si>
    <t>Compliant with the validity requirements (see manual)</t>
  </si>
  <si>
    <t>Applicable EPD points (max. 4)</t>
  </si>
  <si>
    <t>Superstructure - Comparison with the BREEAM benchmark</t>
  </si>
  <si>
    <r>
      <t xml:space="preserve">Range of environmental indicators categories
</t>
    </r>
    <r>
      <rPr>
        <sz val="11"/>
        <color theme="0"/>
        <rFont val="Calibri"/>
        <family val="2"/>
        <scheme val="minor"/>
      </rPr>
      <t>'Capped' indicates results will be capped for options appraisal.</t>
    </r>
  </si>
  <si>
    <t>Suitable for substructure and hard landscaping options appraisal</t>
  </si>
  <si>
    <t>Suitable for building services options appraisal</t>
  </si>
  <si>
    <t>Suitable for superstructure options appraisal</t>
  </si>
  <si>
    <t>Option chosen, and summary reasons for not choosing the other options
(Further details provided in description of change sheets)</t>
  </si>
  <si>
    <t>CHOSEN OPTION</t>
  </si>
  <si>
    <t>Reason for choosing/not choosing this option</t>
  </si>
  <si>
    <t>Used for validation calculations:-</t>
  </si>
  <si>
    <t>Technical Design option ID chosen ('CHOSEN OPTION' selected):</t>
  </si>
  <si>
    <t>Concept Design option ID chosen ('CHOSEN OPTION' selected):</t>
  </si>
  <si>
    <t>This file.</t>
  </si>
  <si>
    <t>B1</t>
  </si>
  <si>
    <t>Mat01_CD_SuperS_B</t>
  </si>
  <si>
    <t>Mat01_DD_SuperS_B</t>
  </si>
  <si>
    <t>B2</t>
  </si>
  <si>
    <t>The 'Mat01_CD_SuperS_B.xlsx' data file and all the associated option data files (including files that are not used).</t>
  </si>
  <si>
    <t>The 'Mat01_DD_SuperS_B.xlsx' data file and all the associated option data files (including files that are not used).</t>
  </si>
  <si>
    <t>Mixed use</t>
  </si>
  <si>
    <t>Is the project part new-build, part refurbishment OR defined as a BREEAM 'Simple Building'?</t>
  </si>
  <si>
    <t>Confirm the following (which comprise the BREEAM Mat 01/02 Results Submission Tool) are included and that the submission method is understood:-</t>
  </si>
  <si>
    <t>The method for submission to BREEAM is to upload to BREEAM Projects. It may not be checked by BREEAM (unless and until the assessment undergoes Q.A).</t>
  </si>
  <si>
    <t>BREEAM UK NC (2018) Mat 01/02 Results Submission Tool</t>
  </si>
  <si>
    <t>1.4.11</t>
  </si>
  <si>
    <t>One Click LCA (LCA for BREEAM UK)</t>
  </si>
  <si>
    <t>Date the above sent to BREEAM during Technical Design:</t>
  </si>
  <si>
    <t>IMPACT Compliant (and results suitable for comparison with the BREEAM benchmark)</t>
  </si>
  <si>
    <t>2018.3 (APR '18)</t>
  </si>
  <si>
    <t>2018.4 (APR '18)</t>
  </si>
  <si>
    <t>Version (date recognised)</t>
  </si>
  <si>
    <t>1.3.x (MAR '18)</t>
  </si>
  <si>
    <r>
      <t xml:space="preserve">One Click LCA (LCA for BREEAM UK, </t>
    </r>
    <r>
      <rPr>
        <u/>
        <sz val="11"/>
        <color theme="1"/>
        <rFont val="Calibri"/>
        <family val="2"/>
        <scheme val="minor"/>
      </rPr>
      <t>within IES-VE</t>
    </r>
    <r>
      <rPr>
        <sz val="11"/>
        <color theme="1"/>
        <rFont val="Calibri"/>
        <family val="2"/>
        <scheme val="minor"/>
      </rPr>
      <t>)</t>
    </r>
  </si>
  <si>
    <t>1. 'One Click LCA (LCA for BREEAM UK)' tool added to recognised tools.
2. Minor bug fixes</t>
  </si>
  <si>
    <t>1. 'One Click LCA (IMPACT Compliant)' tool added to recognised tools.
2. 'One Click LCA (IMPACT Compliant, within IES-VE)' tool added to recognised tools.
3. 'One Click LCA (LCA for BREEAM UK, within IES-VE)' tool added to recognised tools.</t>
  </si>
  <si>
    <t>Sturgis Carbon Calculator</t>
  </si>
  <si>
    <t>2018 001 (JUN '18)</t>
  </si>
  <si>
    <t>Has comparison with the BREEAM benchmark during Technical Design been done? Select tool used or leave blank.</t>
  </si>
  <si>
    <t>1. 'Surgis Carbon Calculator' tool added to recognised tools.</t>
  </si>
  <si>
    <t>1. Erroneous incidences of 'Concept Design' corrected to 'Technical Design' on 'MAT01_TechnicalDesign' sheet.
2. Correction to formula in cell J85 on 'MAT01_ConceptDesign' sheet to follow J103. To bring in line with technical manual.</t>
  </si>
  <si>
    <t>4.2.3 (OCT '18)</t>
  </si>
  <si>
    <t>IMPORTANT NOTE</t>
  </si>
  <si>
    <t>1. Example of a concept design stage submission. Where comparison with the BREEAM benchmark, superstructure options appraisal (3 options) and core building services options appraisal has been done.</t>
  </si>
  <si>
    <t>2. Example of a technical design stage submission following an earlier concept design stage submission. Where comparison with the BREEAM benchmark, superstructure options appraisal (3 options) and core building services options appraisal has been done at concept design stage (see example 1). And comparison with the BREEAM benchmark and superstructure options appraisal (2 options) has been done at technical design stage.</t>
  </si>
  <si>
    <t>3. Example of a technical design stage submission (no concept design stage submission was done). Where only superstructure options appraisal (2 options) has been done</t>
  </si>
  <si>
    <t>1. 'eToolLCD (IMPACT Compliant)' tool added to recognised tools.
2. Warning note regarding option data files added to 'MAT01_ConceptDesign' sheet.
3. 3rd example added to 'MAT01_FileStructureGuide' sheet.</t>
  </si>
  <si>
    <t>Hide</t>
  </si>
  <si>
    <t>BREEAM UK NC (2018) Mat 01 Interactive Ready Reckoner</t>
  </si>
  <si>
    <t>FIELD IN MAT01_CONCEPTDESIGN / TECHNICAL DESIGN SHEETS</t>
  </si>
  <si>
    <t>VALUE TO BE REFERENCED</t>
  </si>
  <si>
    <t>NOTES</t>
  </si>
  <si>
    <t>Credit score</t>
  </si>
  <si>
    <t>From data validation pick-list from same named range as on actual field</t>
  </si>
  <si>
    <t>From data validation pick-list direct defined. NO named range on actual field. If changes made to actual, this must also change.</t>
  </si>
  <si>
    <t>Functional quantity 1 during Concept Design (m2 net internal area):</t>
  </si>
  <si>
    <t>Must be a value to give score. Does not affect score for RR.</t>
  </si>
  <si>
    <t>Comparison with the BREEAM benchmark at concept design (criterion 1)</t>
  </si>
  <si>
    <t>Direct value by user.</t>
  </si>
  <si>
    <t>Which is no more than:</t>
  </si>
  <si>
    <t>Options appraisal at concept design (criteria 3 to 4, and 6 to 9)</t>
  </si>
  <si>
    <t>Superstructure options appraisal to be done (crit. 3 &amp; 4)?</t>
  </si>
  <si>
    <t>Must be 'yes' to give score</t>
  </si>
  <si>
    <t>Substructure &amp; hard landscaping options appraisal to be done (crit. 6 &amp; 7)?</t>
  </si>
  <si>
    <t>Yes - Substructure</t>
  </si>
  <si>
    <t>Yes - Hard landscaping</t>
  </si>
  <si>
    <t>Core building services options appraisal to be done  (crit. 8 &amp; 9)?</t>
  </si>
  <si>
    <t>exemplar credit</t>
  </si>
  <si>
    <t>Must be todays date to give score</t>
  </si>
  <si>
    <t>Comparison with the BREEAM benchmark at technical design (criterion 2)</t>
  </si>
  <si>
    <t>Options appraisal at technical design (criterion 5)</t>
  </si>
  <si>
    <t>Functional quantity 1 during Technical Design (m2 net internal area):</t>
  </si>
  <si>
    <t>Superstructure option appraisal to be done during Technical Design?</t>
  </si>
  <si>
    <t>Total credit score at Technical Design (Final) - criteria 1 to 9</t>
  </si>
  <si>
    <t>This credits score is for guidance. It should be verified in the Mat 01/02 Results Submission Tool</t>
  </si>
  <si>
    <t>LCA and LCC alignment (criteria 10 to 14)</t>
  </si>
  <si>
    <t>LCA and LCC alignment to be done?</t>
  </si>
  <si>
    <t>Third party verification (criteria 15 to 16)</t>
  </si>
  <si>
    <t>Third party verification to be done?</t>
  </si>
  <si>
    <t>Total credit score for Mat 01</t>
  </si>
  <si>
    <t>Complete ALL yellow cells</t>
  </si>
  <si>
    <t>*As this is an expectation, the percentage entered should typically be the same as expected and entered above for concept design stage (if done at concept design stage).</t>
  </si>
  <si>
    <t>Percentage better than benchmark (expected)?</t>
  </si>
  <si>
    <t>Percentage better than benchmark (expected)*?</t>
  </si>
  <si>
    <t>Select tool used</t>
  </si>
  <si>
    <t>Complete this section if comparison with the BREEAM benchmark shall be done during Concept Design, or else leave blank.</t>
  </si>
  <si>
    <t>Complete this section if option appraisal shall be done during Concept Design, or else leave blank.</t>
  </si>
  <si>
    <t>Complete this section if comparison with the BREEAM benchmark shall be done during Technical Design, or else leave blank.</t>
  </si>
  <si>
    <t>Complete this section if option appraisal shall be done during Technical Design, or else leave blank.</t>
  </si>
  <si>
    <t>This alert line is specific to the RR. It is the intention of the manual that BM should be done at TD stage if done at CD stage. This is also clear on the PDF RR.</t>
  </si>
  <si>
    <t>This alert line is specific to the RR. This credit not on the submission tool.</t>
  </si>
  <si>
    <t>Note: If comparison with the BREEAM benchmark is done at Concept Design stage, it must be done again (updated) at Technical Design stage in order for credits to be awarded. The Technical Design stage result (below) takes precedence.</t>
  </si>
  <si>
    <t>From data validation pick-list from same named range as on actual field. 'x' is to stop the 'The tool selected for options appraisal is also suitable for 'comparison with the BREEAM benchmark'. One of them must be selected for both.' note from firing in the main tool and preventing display of credits.</t>
  </si>
  <si>
    <t>1.10</t>
  </si>
  <si>
    <t>1. Integration with RR.</t>
  </si>
  <si>
    <t>Previous version</t>
  </si>
  <si>
    <t>HIDE COLUMNS</t>
  </si>
  <si>
    <t>P1 &amp; P3</t>
  </si>
  <si>
    <t>P7 &amp; P34</t>
  </si>
  <si>
    <t>Notes/warnings</t>
  </si>
  <si>
    <t>A completed 'Mat01_CD_SuperS_B' data file shall be saved in the same folder as this file.</t>
  </si>
  <si>
    <t>Comparion with the benchmark not done. This section n/a. A blank 'Mat01_CD_SuperS_B' data file shall be saved in the same folder as this file.</t>
  </si>
  <si>
    <t>Benchmark value for this building type (BRE EN ecopoints / m2 NIA):</t>
  </si>
  <si>
    <t>BRE EN ecopoints/m2 net internal area (60 year study period)</t>
  </si>
  <si>
    <t>A completed 'Mat01_DD_SuperS_B' data file shall be saved in the same folder as this file.</t>
  </si>
  <si>
    <t>Comparion with the benchmark not done. This section n/a. A blank 'Mat01_DD_SuperS_B' data file shall be saved in the same folder as this file.</t>
  </si>
  <si>
    <t>Old scale (pre v2)</t>
  </si>
  <si>
    <t>BM points scale (v2)</t>
  </si>
  <si>
    <t>eToolLCD (IMPACT Compliant) – using BRE EN data v5.x only</t>
  </si>
  <si>
    <r>
      <t xml:space="preserve">One Click LCA (IMPACT Compliant, </t>
    </r>
    <r>
      <rPr>
        <u/>
        <sz val="11"/>
        <color theme="1"/>
        <rFont val="Calibri"/>
        <family val="2"/>
        <scheme val="minor"/>
      </rPr>
      <t>within IES-VE</t>
    </r>
    <r>
      <rPr>
        <sz val="11"/>
        <color theme="1"/>
        <rFont val="Calibri"/>
        <family val="2"/>
        <scheme val="minor"/>
      </rPr>
      <t>) – using BRE EN data v5.x only</t>
    </r>
  </si>
  <si>
    <t>One Click LCA (IMPACT Compliant) – using BRE EN data v5.x only</t>
  </si>
  <si>
    <t>1. Amended credit benchmark scale
2. Amended credit cap for Simplified tool from 1/3 to 1/2 value of credits
3. Amended Mat 02 material classifications to align with Table 9.9 (combining P1 &amp; P3 and P7 &amp; P34)
4. Tool will not read Element 2.7 Internal walls and partitions unless the Building type is Education, to align with Table 9.1
5. Improved usability and corrected typos</t>
  </si>
  <si>
    <t>2.0</t>
  </si>
  <si>
    <t>Minor text changes to 'Tools recognised by BREEAM' tab in line with Mat01/02 Results Submission Tool v2.0.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</si>
</sst>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
  </numFmts>
  <fonts count="56" x14ac:knownFonts="1">
    <font>
      <sz val="11"/>
      <color theme="1"/>
      <name val="Calibri"/>
      <family val="2"/>
      <scheme val="minor"/>
    </font>
    <font>
      <sz val="11"/>
      <color theme="0"/>
      <name val="Calibri"/>
      <family val="2"/>
      <scheme val="minor"/>
    </font>
    <font>
      <sz val="11"/>
      <name val="Calibri"/>
      <family val="2"/>
      <scheme val="minor"/>
    </font>
    <font>
      <sz val="11"/>
      <color theme="1"/>
      <name val="Calibri"/>
      <family val="2"/>
      <scheme val="minor"/>
    </font>
    <font>
      <u/>
      <sz val="11"/>
      <color theme="10"/>
      <name val="Calibri"/>
      <family val="2"/>
      <scheme val="minor"/>
    </font>
    <font>
      <b/>
      <sz val="16"/>
      <color theme="1"/>
      <name val="Calibri"/>
      <family val="2"/>
      <scheme val="minor"/>
    </font>
    <font>
      <b/>
      <sz val="11"/>
      <color theme="1"/>
      <name val="Calibri"/>
      <family val="2"/>
      <scheme val="minor"/>
    </font>
    <font>
      <sz val="11"/>
      <color rgb="FFFF0000"/>
      <name val="Calibri"/>
      <family val="2"/>
      <scheme val="minor"/>
    </font>
    <font>
      <sz val="11"/>
      <color rgb="FF00B050"/>
      <name val="Calibri"/>
      <family val="2"/>
      <scheme val="minor"/>
    </font>
    <font>
      <b/>
      <sz val="16"/>
      <color theme="0"/>
      <name val="Calibri"/>
      <family val="2"/>
      <scheme val="minor"/>
    </font>
    <font>
      <u/>
      <sz val="11"/>
      <color theme="0"/>
      <name val="Calibri"/>
      <family val="2"/>
      <scheme val="minor"/>
    </font>
    <font>
      <b/>
      <u/>
      <sz val="11"/>
      <color theme="4"/>
      <name val="Calibri"/>
      <family val="2"/>
      <scheme val="minor"/>
    </font>
    <font>
      <sz val="11"/>
      <color theme="4" tint="-0.249977111117893"/>
      <name val="Calibri"/>
      <family val="2"/>
      <scheme val="minor"/>
    </font>
    <font>
      <sz val="11"/>
      <color theme="0" tint="-0.34998626667073579"/>
      <name val="Calibri"/>
      <family val="2"/>
      <scheme val="minor"/>
    </font>
    <font>
      <i/>
      <sz val="11"/>
      <name val="Calibri"/>
      <family val="2"/>
      <scheme val="minor"/>
    </font>
    <font>
      <b/>
      <sz val="16"/>
      <color theme="9" tint="-0.249977111117893"/>
      <name val="Calibri"/>
      <family val="2"/>
      <scheme val="minor"/>
    </font>
    <font>
      <b/>
      <sz val="11"/>
      <name val="Calibri"/>
      <family val="2"/>
      <scheme val="minor"/>
    </font>
    <font>
      <sz val="16"/>
      <color theme="1"/>
      <name val="Calibri"/>
      <family val="2"/>
      <scheme val="minor"/>
    </font>
    <font>
      <b/>
      <sz val="11"/>
      <color theme="0"/>
      <name val="Calibri"/>
      <family val="2"/>
      <scheme val="minor"/>
    </font>
    <font>
      <sz val="11"/>
      <color rgb="FFFFFFFF"/>
      <name val="Calibri"/>
      <family val="2"/>
      <scheme val="minor"/>
    </font>
    <font>
      <b/>
      <sz val="11"/>
      <color rgb="FFFFFFFF"/>
      <name val="Calibri"/>
      <family val="2"/>
      <scheme val="minor"/>
    </font>
    <font>
      <sz val="10"/>
      <name val="Arial"/>
      <family val="2"/>
    </font>
    <font>
      <sz val="10"/>
      <name val="Arial"/>
      <family val="2"/>
    </font>
    <font>
      <u/>
      <sz val="10"/>
      <color indexed="12"/>
      <name val="Arial"/>
      <family val="2"/>
    </font>
    <font>
      <sz val="10"/>
      <name val="Calibri"/>
      <family val="2"/>
      <scheme val="minor"/>
    </font>
    <font>
      <b/>
      <sz val="11"/>
      <color rgb="FFFF0000"/>
      <name val="Calibri"/>
      <family val="2"/>
      <scheme val="minor"/>
    </font>
    <font>
      <b/>
      <sz val="12"/>
      <color theme="0"/>
      <name val="Calibri"/>
      <family val="2"/>
      <scheme val="minor"/>
    </font>
    <font>
      <b/>
      <sz val="14"/>
      <color theme="0"/>
      <name val="Calibri"/>
      <family val="2"/>
      <scheme val="minor"/>
    </font>
    <font>
      <b/>
      <sz val="16"/>
      <color rgb="FF3D6864"/>
      <name val="Calibri"/>
      <family val="2"/>
      <scheme val="minor"/>
    </font>
    <font>
      <u/>
      <sz val="11"/>
      <color rgb="FFFFFFFF"/>
      <name val="Calibri"/>
      <family val="2"/>
      <scheme val="minor"/>
    </font>
    <font>
      <b/>
      <sz val="16"/>
      <color rgb="FFFF0000"/>
      <name val="Calibri"/>
      <family val="2"/>
      <scheme val="minor"/>
    </font>
    <font>
      <sz val="11"/>
      <color rgb="FF3D6864"/>
      <name val="Calibri"/>
      <family val="2"/>
      <scheme val="minor"/>
    </font>
    <font>
      <b/>
      <u/>
      <sz val="16"/>
      <color rgb="FFFF0000"/>
      <name val="Calibri"/>
      <family val="2"/>
      <scheme val="minor"/>
    </font>
    <font>
      <b/>
      <u/>
      <sz val="11"/>
      <color rgb="FFFF0000"/>
      <name val="Calibri"/>
      <family val="2"/>
      <scheme val="minor"/>
    </font>
    <font>
      <b/>
      <u/>
      <sz val="20"/>
      <color theme="0"/>
      <name val="Calibri"/>
      <family val="2"/>
      <scheme val="minor"/>
    </font>
    <font>
      <b/>
      <sz val="28"/>
      <color theme="0"/>
      <name val="Calibri"/>
      <family val="2"/>
      <scheme val="minor"/>
    </font>
    <font>
      <sz val="28"/>
      <color theme="0"/>
      <name val="Calibri"/>
      <family val="2"/>
      <scheme val="minor"/>
    </font>
    <font>
      <b/>
      <sz val="28"/>
      <name val="Calibri"/>
      <family val="2"/>
      <scheme val="minor"/>
    </font>
    <font>
      <b/>
      <sz val="28"/>
      <color rgb="FFFFFFFF"/>
      <name val="Calibri"/>
      <family val="2"/>
      <scheme val="minor"/>
    </font>
    <font>
      <sz val="28"/>
      <color rgb="FFFFFFFF"/>
      <name val="Calibri"/>
      <family val="2"/>
      <scheme val="minor"/>
    </font>
    <font>
      <b/>
      <u/>
      <sz val="22"/>
      <color theme="1"/>
      <name val="Calibri"/>
      <family val="2"/>
      <scheme val="minor"/>
    </font>
    <font>
      <sz val="10"/>
      <color rgb="FF000000"/>
      <name val="Arial"/>
      <family val="2"/>
    </font>
    <font>
      <b/>
      <sz val="12"/>
      <name val="Calibri"/>
      <family val="2"/>
      <scheme val="minor"/>
    </font>
    <font>
      <sz val="12"/>
      <name val="Calibri"/>
      <family val="2"/>
      <scheme val="minor"/>
    </font>
    <font>
      <b/>
      <sz val="14"/>
      <name val="Calibri"/>
      <family val="2"/>
      <scheme val="minor"/>
    </font>
    <font>
      <sz val="28"/>
      <name val="Calibri"/>
      <family val="2"/>
      <scheme val="minor"/>
    </font>
    <font>
      <u/>
      <sz val="11"/>
      <color theme="1"/>
      <name val="Calibri"/>
      <family val="2"/>
      <scheme val="minor"/>
    </font>
    <font>
      <sz val="12"/>
      <color indexed="81"/>
      <name val="Tahoma"/>
      <family val="2"/>
    </font>
    <font>
      <b/>
      <sz val="12"/>
      <color indexed="81"/>
      <name val="Tahoma"/>
      <family val="2"/>
    </font>
    <font>
      <b/>
      <sz val="16"/>
      <color indexed="81"/>
      <name val="Tahoma"/>
      <family val="2"/>
    </font>
    <font>
      <sz val="20"/>
      <color rgb="FFFFFFFF"/>
      <name val="Calibri"/>
      <family val="2"/>
      <scheme val="minor"/>
    </font>
    <font>
      <sz val="20"/>
      <color theme="1"/>
      <name val="Calibri"/>
      <family val="2"/>
      <scheme val="minor"/>
    </font>
    <font>
      <b/>
      <sz val="20"/>
      <color theme="1"/>
      <name val="Calibri"/>
      <family val="2"/>
      <scheme val="minor"/>
    </font>
    <font>
      <sz val="9"/>
      <color theme="0" tint="-0.499984740745262"/>
      <name val="Calibri"/>
      <family val="2"/>
      <scheme val="minor"/>
    </font>
    <font>
      <sz val="8"/>
      <name val="Calibri"/>
      <family val="2"/>
      <scheme val="minor"/>
    </font>
    <font>
      <sz val="8"/>
      <color theme="1"/>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9.9978637043366805E-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rgb="FF3D6864"/>
        <bgColor indexed="64"/>
      </patternFill>
    </fill>
    <fill>
      <patternFill patternType="solid">
        <fgColor rgb="FFFFFFFF"/>
        <bgColor indexed="64"/>
      </patternFill>
    </fill>
    <fill>
      <patternFill patternType="solid">
        <fgColor theme="0" tint="-0.499984740745262"/>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theme="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style="thin">
        <color indexed="64"/>
      </bottom>
      <diagonal/>
    </border>
    <border>
      <left style="thin">
        <color theme="0"/>
      </left>
      <right style="thin">
        <color theme="0"/>
      </right>
      <top/>
      <bottom/>
      <diagonal/>
    </border>
    <border>
      <left style="thin">
        <color indexed="64"/>
      </left>
      <right style="thin">
        <color indexed="64"/>
      </right>
      <top/>
      <bottom style="thin">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right/>
      <top/>
      <bottom style="thin">
        <color indexed="64"/>
      </bottom>
      <diagonal/>
    </border>
    <border>
      <left/>
      <right style="thin">
        <color theme="0"/>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theme="0"/>
      </left>
      <right/>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medium">
        <color indexed="64"/>
      </bottom>
      <diagonal/>
    </border>
    <border>
      <left style="thin">
        <color theme="0" tint="-0.499984740745262"/>
      </left>
      <right style="thin">
        <color theme="0" tint="-0.499984740745262"/>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rgb="FFFFFFFF"/>
      </top>
      <bottom/>
      <diagonal/>
    </border>
    <border>
      <left style="thin">
        <color theme="0" tint="-9.9978637043366805E-2"/>
      </left>
      <right/>
      <top style="thin">
        <color theme="0" tint="-9.9978637043366805E-2"/>
      </top>
      <bottom style="thin">
        <color theme="0" tint="-9.9978637043366805E-2"/>
      </bottom>
      <diagonal/>
    </border>
    <border>
      <left/>
      <right style="thin">
        <color theme="0" tint="-9.9978637043366805E-2"/>
      </right>
      <top style="thin">
        <color theme="0" tint="-9.9978637043366805E-2"/>
      </top>
      <bottom style="thin">
        <color theme="0" tint="-9.9978637043366805E-2"/>
      </bottom>
      <diagonal/>
    </border>
    <border>
      <left style="thin">
        <color theme="0"/>
      </left>
      <right/>
      <top style="thin">
        <color theme="0"/>
      </top>
      <bottom/>
      <diagonal/>
    </border>
  </borders>
  <cellStyleXfs count="14">
    <xf numFmtId="0" fontId="0" fillId="0" borderId="0"/>
    <xf numFmtId="9" fontId="3" fillId="0" borderId="0" applyFont="0" applyFill="0" applyBorder="0" applyAlignment="0" applyProtection="0"/>
    <xf numFmtId="0" fontId="4" fillId="0" borderId="0" applyNumberFormat="0" applyFill="0" applyBorder="0" applyAlignment="0" applyProtection="0"/>
    <xf numFmtId="43" fontId="3" fillId="0" borderId="0" applyFont="0" applyFill="0" applyBorder="0" applyAlignment="0" applyProtection="0"/>
    <xf numFmtId="0" fontId="21" fillId="0" borderId="0"/>
    <xf numFmtId="0" fontId="23" fillId="0" borderId="0" applyNumberFormat="0" applyFill="0" applyBorder="0" applyAlignment="0" applyProtection="0">
      <alignment vertical="top"/>
      <protection locked="0"/>
    </xf>
    <xf numFmtId="0" fontId="3" fillId="0" borderId="0"/>
    <xf numFmtId="0" fontId="22" fillId="0" borderId="0"/>
    <xf numFmtId="0" fontId="22" fillId="0" borderId="0"/>
    <xf numFmtId="9" fontId="21"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1" fillId="0" borderId="0"/>
  </cellStyleXfs>
  <cellXfs count="423">
    <xf numFmtId="0" fontId="0" fillId="0" borderId="0" xfId="0"/>
    <xf numFmtId="0" fontId="0" fillId="0" borderId="0" xfId="0" applyAlignment="1">
      <alignment horizontal="left" vertical="top" wrapText="1"/>
    </xf>
    <xf numFmtId="0" fontId="0" fillId="0" borderId="0" xfId="0" applyBorder="1" applyAlignment="1">
      <alignment horizontal="left" vertical="top" wrapText="1"/>
    </xf>
    <xf numFmtId="0" fontId="0" fillId="0" borderId="0" xfId="0" applyFill="1"/>
    <xf numFmtId="0" fontId="4" fillId="0" borderId="0" xfId="2" applyFill="1" applyBorder="1" applyAlignment="1">
      <alignment vertical="top"/>
    </xf>
    <xf numFmtId="0" fontId="0" fillId="0" borderId="0" xfId="0" applyFill="1" applyBorder="1" applyAlignment="1">
      <alignment horizontal="left" vertical="top" wrapText="1"/>
    </xf>
    <xf numFmtId="0" fontId="0" fillId="0" borderId="0" xfId="0" applyFill="1" applyBorder="1"/>
    <xf numFmtId="0" fontId="0" fillId="0" borderId="0" xfId="0" applyAlignment="1">
      <alignment horizontal="left" vertical="top"/>
    </xf>
    <xf numFmtId="0" fontId="6" fillId="0" borderId="0" xfId="0" applyFont="1" applyAlignment="1">
      <alignment horizontal="left" vertical="top"/>
    </xf>
    <xf numFmtId="0" fontId="6" fillId="8" borderId="0" xfId="0" applyFont="1" applyFill="1"/>
    <xf numFmtId="0" fontId="0" fillId="0" borderId="0" xfId="0" applyBorder="1"/>
    <xf numFmtId="0" fontId="13" fillId="0" borderId="0" xfId="0" applyFont="1" applyBorder="1"/>
    <xf numFmtId="2" fontId="0" fillId="0" borderId="0" xfId="0" applyNumberFormat="1" applyFill="1" applyBorder="1"/>
    <xf numFmtId="2" fontId="0" fillId="0" borderId="0" xfId="0" applyNumberFormat="1" applyFill="1"/>
    <xf numFmtId="164" fontId="0" fillId="0" borderId="0" xfId="0" applyNumberFormat="1" applyFill="1" applyBorder="1"/>
    <xf numFmtId="1" fontId="0" fillId="0" borderId="0" xfId="0" applyNumberFormat="1"/>
    <xf numFmtId="0" fontId="0" fillId="0" borderId="0" xfId="0" applyFill="1" applyBorder="1" applyAlignment="1">
      <alignment horizontal="right"/>
    </xf>
    <xf numFmtId="43" fontId="0" fillId="0" borderId="0" xfId="3" applyFont="1"/>
    <xf numFmtId="0" fontId="11" fillId="0" borderId="0" xfId="0" applyFont="1" applyBorder="1" applyAlignment="1">
      <alignment horizontal="left" vertical="top"/>
    </xf>
    <xf numFmtId="0" fontId="12" fillId="0" borderId="0" xfId="0" applyFont="1" applyBorder="1"/>
    <xf numFmtId="0" fontId="2" fillId="0" borderId="0" xfId="0" applyFont="1" applyBorder="1" applyAlignment="1">
      <alignment horizontal="left" vertical="top" wrapText="1"/>
    </xf>
    <xf numFmtId="0" fontId="2" fillId="0" borderId="0" xfId="0" applyFont="1" applyBorder="1" applyAlignment="1">
      <alignment horizontal="left"/>
    </xf>
    <xf numFmtId="164" fontId="2" fillId="0" borderId="0" xfId="0" applyNumberFormat="1" applyFont="1" applyBorder="1"/>
    <xf numFmtId="0" fontId="14" fillId="0" borderId="0" xfId="0" applyFont="1" applyBorder="1" applyAlignment="1">
      <alignment vertical="top" wrapText="1"/>
    </xf>
    <xf numFmtId="1" fontId="0" fillId="0" borderId="0" xfId="0" applyNumberFormat="1" applyBorder="1"/>
    <xf numFmtId="0" fontId="0" fillId="0" borderId="10" xfId="0" applyBorder="1" applyAlignment="1">
      <alignment horizontal="left" vertical="top" wrapText="1"/>
    </xf>
    <xf numFmtId="0" fontId="0" fillId="0" borderId="10" xfId="0" applyFill="1" applyBorder="1" applyAlignment="1">
      <alignment horizontal="left" vertical="top" wrapText="1"/>
    </xf>
    <xf numFmtId="0" fontId="0" fillId="0" borderId="1" xfId="0" applyFill="1" applyBorder="1"/>
    <xf numFmtId="2" fontId="0" fillId="0" borderId="1" xfId="0" applyNumberFormat="1" applyFill="1" applyBorder="1"/>
    <xf numFmtId="0" fontId="6" fillId="0" borderId="1" xfId="0" applyFont="1" applyFill="1" applyBorder="1"/>
    <xf numFmtId="0" fontId="0" fillId="0" borderId="1" xfId="0" applyFill="1" applyBorder="1" applyAlignment="1">
      <alignment horizontal="right"/>
    </xf>
    <xf numFmtId="0" fontId="4" fillId="0" borderId="0" xfId="2" applyBorder="1" applyAlignment="1">
      <alignment horizontal="left" vertical="top" wrapText="1"/>
    </xf>
    <xf numFmtId="0" fontId="6" fillId="0" borderId="0" xfId="0" applyFont="1" applyFill="1"/>
    <xf numFmtId="0" fontId="6" fillId="0" borderId="0" xfId="0" applyFont="1" applyFill="1" applyBorder="1" applyAlignment="1">
      <alignment horizontal="left" vertical="top" wrapText="1"/>
    </xf>
    <xf numFmtId="0" fontId="6" fillId="0" borderId="0" xfId="0" applyFont="1" applyAlignment="1">
      <alignment horizontal="left" vertical="top" wrapText="1"/>
    </xf>
    <xf numFmtId="0" fontId="0" fillId="4" borderId="1" xfId="0" applyFill="1" applyBorder="1" applyAlignment="1">
      <alignment horizontal="left" vertical="top" wrapText="1"/>
    </xf>
    <xf numFmtId="0" fontId="2" fillId="4" borderId="1" xfId="0" applyFont="1" applyFill="1" applyBorder="1" applyAlignment="1">
      <alignment horizontal="left" vertical="top" wrapText="1"/>
    </xf>
    <xf numFmtId="0" fontId="26" fillId="10" borderId="0" xfId="4" applyFont="1" applyFill="1" applyBorder="1" applyAlignment="1" applyProtection="1">
      <alignment vertical="center"/>
      <protection hidden="1"/>
    </xf>
    <xf numFmtId="0" fontId="27" fillId="10" borderId="0" xfId="4" applyFont="1" applyFill="1" applyBorder="1" applyAlignment="1" applyProtection="1">
      <alignment vertical="center"/>
      <protection hidden="1"/>
    </xf>
    <xf numFmtId="0" fontId="24" fillId="0" borderId="0" xfId="7" applyFont="1" applyFill="1"/>
    <xf numFmtId="0" fontId="25" fillId="0" borderId="0" xfId="7" applyFont="1" applyFill="1" applyAlignment="1" applyProtection="1">
      <alignment horizontal="left" vertical="center"/>
      <protection hidden="1"/>
    </xf>
    <xf numFmtId="0" fontId="25" fillId="0" borderId="0" xfId="7" applyFont="1" applyFill="1" applyAlignment="1" applyProtection="1">
      <alignment horizontal="left" vertical="center" wrapText="1"/>
      <protection hidden="1"/>
    </xf>
    <xf numFmtId="0" fontId="2" fillId="0" borderId="0" xfId="7" applyFont="1" applyFill="1" applyAlignment="1">
      <alignment horizontal="center"/>
    </xf>
    <xf numFmtId="0" fontId="2" fillId="0" borderId="0" xfId="7" applyFont="1" applyFill="1"/>
    <xf numFmtId="2" fontId="2" fillId="0" borderId="1" xfId="7" applyNumberFormat="1" applyFont="1" applyFill="1" applyBorder="1" applyAlignment="1">
      <alignment horizontal="center" vertical="center"/>
    </xf>
    <xf numFmtId="14" fontId="2" fillId="0" borderId="1" xfId="7" applyNumberFormat="1" applyFont="1" applyFill="1" applyBorder="1" applyAlignment="1">
      <alignment horizontal="center" vertical="center"/>
    </xf>
    <xf numFmtId="0" fontId="1" fillId="10" borderId="0" xfId="7" applyFont="1" applyFill="1" applyAlignment="1" applyProtection="1">
      <alignment horizontal="center"/>
      <protection hidden="1"/>
    </xf>
    <xf numFmtId="0" fontId="1" fillId="10" borderId="0" xfId="7" applyFont="1" applyFill="1"/>
    <xf numFmtId="0" fontId="1" fillId="10" borderId="0" xfId="7" applyFont="1" applyFill="1" applyAlignment="1" applyProtection="1">
      <protection hidden="1"/>
    </xf>
    <xf numFmtId="0" fontId="32" fillId="0" borderId="0" xfId="0" applyFont="1" applyBorder="1" applyAlignment="1">
      <alignment horizontal="left"/>
    </xf>
    <xf numFmtId="0" fontId="33" fillId="0" borderId="0" xfId="0" applyFont="1" applyBorder="1" applyAlignment="1">
      <alignment horizontal="left"/>
    </xf>
    <xf numFmtId="0" fontId="30" fillId="0" borderId="0" xfId="0" applyFont="1" applyFill="1" applyBorder="1" applyAlignment="1">
      <alignment horizontal="center" vertical="center" wrapText="1"/>
    </xf>
    <xf numFmtId="0" fontId="27" fillId="10" borderId="10" xfId="4" applyFont="1" applyFill="1" applyBorder="1" applyAlignment="1" applyProtection="1">
      <alignment vertical="center"/>
      <protection hidden="1"/>
    </xf>
    <xf numFmtId="0" fontId="18" fillId="10" borderId="1" xfId="0" applyFont="1" applyFill="1" applyBorder="1" applyAlignment="1">
      <alignment horizontal="left" vertical="top" wrapText="1"/>
    </xf>
    <xf numFmtId="0" fontId="27" fillId="0" borderId="0" xfId="4" applyFont="1" applyFill="1" applyBorder="1" applyAlignment="1" applyProtection="1">
      <alignment vertical="center"/>
      <protection hidden="1"/>
    </xf>
    <xf numFmtId="0" fontId="27" fillId="0" borderId="10" xfId="4" applyFont="1" applyFill="1" applyBorder="1" applyAlignment="1" applyProtection="1">
      <alignment vertical="center"/>
      <protection hidden="1"/>
    </xf>
    <xf numFmtId="0" fontId="20" fillId="10" borderId="14" xfId="0" applyFont="1" applyFill="1" applyBorder="1"/>
    <xf numFmtId="0" fontId="20" fillId="10" borderId="2" xfId="0" applyFont="1" applyFill="1" applyBorder="1"/>
    <xf numFmtId="0" fontId="16" fillId="11" borderId="1" xfId="0" applyFont="1" applyFill="1" applyBorder="1"/>
    <xf numFmtId="0" fontId="16" fillId="3" borderId="2" xfId="0" applyFont="1" applyFill="1" applyBorder="1"/>
    <xf numFmtId="0" fontId="2" fillId="3" borderId="1" xfId="0" applyFont="1" applyFill="1" applyBorder="1"/>
    <xf numFmtId="0" fontId="0" fillId="8" borderId="0" xfId="0" applyFill="1"/>
    <xf numFmtId="0" fontId="0" fillId="8" borderId="0" xfId="0" applyFill="1" applyBorder="1"/>
    <xf numFmtId="0" fontId="0" fillId="4" borderId="1" xfId="0" applyFill="1" applyBorder="1" applyAlignment="1">
      <alignment horizontal="left" vertical="top" wrapText="1"/>
    </xf>
    <xf numFmtId="0" fontId="4" fillId="0" borderId="0" xfId="2" applyBorder="1" applyAlignment="1">
      <alignment horizontal="left" vertical="top"/>
    </xf>
    <xf numFmtId="0" fontId="6" fillId="8" borderId="0" xfId="0" applyFont="1" applyFill="1" applyBorder="1" applyAlignment="1">
      <alignment horizontal="left" vertical="center"/>
    </xf>
    <xf numFmtId="0" fontId="0" fillId="0" borderId="1" xfId="0" applyBorder="1"/>
    <xf numFmtId="0" fontId="0" fillId="7" borderId="1" xfId="0" applyFill="1" applyBorder="1"/>
    <xf numFmtId="2" fontId="0" fillId="7" borderId="1" xfId="0" applyNumberFormat="1" applyFill="1" applyBorder="1"/>
    <xf numFmtId="0" fontId="0" fillId="5" borderId="1" xfId="0" applyFill="1" applyBorder="1"/>
    <xf numFmtId="2" fontId="0" fillId="5" borderId="1" xfId="0" applyNumberFormat="1" applyFill="1" applyBorder="1"/>
    <xf numFmtId="2" fontId="6" fillId="0" borderId="1" xfId="0" applyNumberFormat="1" applyFont="1" applyFill="1" applyBorder="1" applyAlignment="1">
      <alignment wrapText="1"/>
    </xf>
    <xf numFmtId="0" fontId="0" fillId="7" borderId="1" xfId="0" applyFont="1" applyFill="1" applyBorder="1"/>
    <xf numFmtId="0" fontId="0" fillId="7" borderId="1" xfId="0" applyFont="1" applyFill="1" applyBorder="1" applyAlignment="1">
      <alignment horizontal="left"/>
    </xf>
    <xf numFmtId="0" fontId="0" fillId="0" borderId="13" xfId="0" applyBorder="1"/>
    <xf numFmtId="49" fontId="0" fillId="0" borderId="0" xfId="0" applyNumberFormat="1" applyBorder="1" applyAlignment="1">
      <alignment horizontal="right"/>
    </xf>
    <xf numFmtId="0" fontId="0" fillId="0" borderId="0" xfId="0" applyBorder="1" applyAlignment="1">
      <alignment horizontal="right"/>
    </xf>
    <xf numFmtId="0" fontId="6" fillId="0" borderId="0" xfId="0" applyFont="1" applyFill="1" applyBorder="1"/>
    <xf numFmtId="0" fontId="41" fillId="0" borderId="0" xfId="0" applyFont="1" applyAlignment="1">
      <alignment horizontal="left" vertical="center" wrapText="1"/>
    </xf>
    <xf numFmtId="0" fontId="41" fillId="0" borderId="1" xfId="0" applyFont="1" applyBorder="1" applyAlignment="1">
      <alignment wrapText="1"/>
    </xf>
    <xf numFmtId="0" fontId="41" fillId="0" borderId="1" xfId="0" applyFont="1" applyBorder="1" applyAlignment="1">
      <alignment horizontal="left" vertical="center" wrapText="1"/>
    </xf>
    <xf numFmtId="0" fontId="0" fillId="0" borderId="0" xfId="0"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protection locked="0"/>
    </xf>
    <xf numFmtId="0" fontId="42" fillId="0" borderId="0" xfId="4" applyFont="1" applyFill="1" applyBorder="1" applyAlignment="1" applyProtection="1">
      <alignment vertical="center"/>
      <protection hidden="1"/>
    </xf>
    <xf numFmtId="0" fontId="43" fillId="0" borderId="0" xfId="4" applyFont="1" applyFill="1" applyBorder="1" applyAlignment="1" applyProtection="1">
      <alignment vertical="center"/>
      <protection hidden="1"/>
    </xf>
    <xf numFmtId="0" fontId="44" fillId="0" borderId="0" xfId="4" applyFont="1" applyFill="1" applyBorder="1" applyAlignment="1" applyProtection="1">
      <alignment vertical="center"/>
      <protection hidden="1"/>
    </xf>
    <xf numFmtId="0" fontId="2" fillId="0" borderId="0" xfId="4" applyFont="1" applyFill="1" applyBorder="1" applyAlignment="1" applyProtection="1">
      <alignment vertical="center"/>
      <protection hidden="1"/>
    </xf>
    <xf numFmtId="0" fontId="16" fillId="0" borderId="0" xfId="4" applyFont="1" applyFill="1" applyBorder="1" applyAlignment="1" applyProtection="1">
      <alignment vertical="center"/>
      <protection hidden="1"/>
    </xf>
    <xf numFmtId="0" fontId="2" fillId="0" borderId="0" xfId="4" applyFont="1" applyFill="1" applyBorder="1" applyAlignment="1" applyProtection="1">
      <alignment horizontal="center" vertical="center"/>
      <protection hidden="1"/>
    </xf>
    <xf numFmtId="0" fontId="16" fillId="4" borderId="5" xfId="4" applyFont="1" applyFill="1" applyBorder="1" applyAlignment="1" applyProtection="1">
      <alignment vertical="center"/>
      <protection hidden="1"/>
    </xf>
    <xf numFmtId="0" fontId="16" fillId="4" borderId="1" xfId="4" applyFont="1" applyFill="1" applyBorder="1" applyAlignment="1" applyProtection="1">
      <alignment vertical="center"/>
      <protection hidden="1"/>
    </xf>
    <xf numFmtId="0" fontId="16" fillId="4" borderId="14" xfId="4" applyFont="1" applyFill="1" applyBorder="1" applyAlignment="1" applyProtection="1">
      <alignment vertical="center"/>
      <protection hidden="1"/>
    </xf>
    <xf numFmtId="0" fontId="20" fillId="10" borderId="14" xfId="4" applyFont="1" applyFill="1" applyBorder="1" applyAlignment="1" applyProtection="1">
      <alignment horizontal="left" vertical="top" wrapText="1"/>
      <protection hidden="1"/>
    </xf>
    <xf numFmtId="0" fontId="0" fillId="0" borderId="0" xfId="0" applyFill="1" applyBorder="1" applyAlignment="1" applyProtection="1">
      <alignment horizontal="center" vertical="top" wrapText="1"/>
      <protection locked="0"/>
    </xf>
    <xf numFmtId="0" fontId="30" fillId="0" borderId="0" xfId="0" applyFont="1" applyFill="1" applyBorder="1" applyAlignment="1" applyProtection="1">
      <alignment horizontal="center" vertical="center" wrapText="1"/>
    </xf>
    <xf numFmtId="0" fontId="0" fillId="0" borderId="0" xfId="0" applyBorder="1" applyAlignment="1" applyProtection="1">
      <alignment horizontal="left" vertical="top" wrapText="1"/>
    </xf>
    <xf numFmtId="0" fontId="0" fillId="0" borderId="0" xfId="0" applyFill="1" applyBorder="1" applyAlignment="1" applyProtection="1">
      <alignment horizontal="left" vertical="top" wrapText="1"/>
    </xf>
    <xf numFmtId="0" fontId="4" fillId="0" borderId="0" xfId="2" applyBorder="1" applyAlignment="1" applyProtection="1">
      <alignment horizontal="left" vertical="top"/>
    </xf>
    <xf numFmtId="0" fontId="32" fillId="0" borderId="0" xfId="0" applyFont="1" applyBorder="1" applyAlignment="1" applyProtection="1">
      <alignment horizontal="left"/>
    </xf>
    <xf numFmtId="0" fontId="33" fillId="0" borderId="0" xfId="0" applyFont="1" applyBorder="1" applyAlignment="1" applyProtection="1">
      <alignment horizontal="left"/>
    </xf>
    <xf numFmtId="0" fontId="0" fillId="0" borderId="0" xfId="0" applyProtection="1"/>
    <xf numFmtId="0" fontId="0" fillId="0" borderId="0" xfId="0" applyFill="1" applyProtection="1"/>
    <xf numFmtId="0" fontId="28" fillId="0" borderId="19" xfId="0" applyFont="1" applyFill="1" applyBorder="1" applyAlignment="1" applyProtection="1">
      <alignment vertical="top"/>
    </xf>
    <xf numFmtId="0" fontId="0"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35" fillId="10" borderId="0" xfId="0" applyFont="1" applyFill="1" applyBorder="1" applyAlignment="1" applyProtection="1">
      <alignment horizontal="left" vertical="top"/>
    </xf>
    <xf numFmtId="0" fontId="45" fillId="0" borderId="1" xfId="0" applyFont="1" applyFill="1" applyBorder="1" applyAlignment="1" applyProtection="1">
      <alignment horizontal="center" vertical="top" wrapText="1"/>
    </xf>
    <xf numFmtId="0" fontId="28" fillId="0" borderId="0" xfId="0" applyFont="1" applyFill="1" applyBorder="1" applyAlignment="1" applyProtection="1">
      <alignment vertical="top"/>
    </xf>
    <xf numFmtId="0" fontId="0" fillId="0" borderId="0" xfId="0" applyFont="1" applyFill="1" applyBorder="1" applyAlignment="1" applyProtection="1">
      <alignment horizontal="left" vertical="top" wrapText="1"/>
    </xf>
    <xf numFmtId="0" fontId="2" fillId="0" borderId="0" xfId="0" applyFont="1" applyFill="1" applyBorder="1" applyAlignment="1" applyProtection="1">
      <alignment vertical="top"/>
    </xf>
    <xf numFmtId="0" fontId="19" fillId="12" borderId="0" xfId="0" applyFont="1" applyFill="1" applyBorder="1" applyAlignment="1" applyProtection="1">
      <alignment horizontal="left" vertical="top" wrapText="1"/>
    </xf>
    <xf numFmtId="0" fontId="1" fillId="10" borderId="0" xfId="0" applyFont="1" applyFill="1" applyBorder="1" applyAlignment="1" applyProtection="1">
      <alignment horizontal="left" vertical="top" wrapText="1"/>
    </xf>
    <xf numFmtId="0" fontId="1" fillId="10" borderId="20" xfId="0" applyFont="1" applyFill="1" applyBorder="1" applyAlignment="1" applyProtection="1">
      <alignment horizontal="left" vertical="top" wrapText="1"/>
    </xf>
    <xf numFmtId="0" fontId="0" fillId="0" borderId="0" xfId="0" applyAlignment="1" applyProtection="1">
      <alignment horizontal="left" vertical="top" wrapText="1"/>
    </xf>
    <xf numFmtId="164" fontId="2" fillId="4" borderId="5" xfId="4" applyNumberFormat="1" applyFont="1" applyFill="1" applyBorder="1" applyAlignment="1" applyProtection="1">
      <alignment horizontal="center" vertical="center"/>
      <protection hidden="1"/>
    </xf>
    <xf numFmtId="164" fontId="2" fillId="4" borderId="1" xfId="4" applyNumberFormat="1" applyFont="1" applyFill="1" applyBorder="1" applyAlignment="1" applyProtection="1">
      <alignment horizontal="center" vertical="center"/>
      <protection hidden="1"/>
    </xf>
    <xf numFmtId="164" fontId="2" fillId="4" borderId="14" xfId="4" applyNumberFormat="1" applyFont="1" applyFill="1" applyBorder="1" applyAlignment="1" applyProtection="1">
      <alignment horizontal="center" vertical="center"/>
      <protection hidden="1"/>
    </xf>
    <xf numFmtId="164" fontId="16" fillId="4" borderId="21" xfId="4" applyNumberFormat="1" applyFont="1" applyFill="1" applyBorder="1" applyAlignment="1" applyProtection="1">
      <alignment horizontal="center" vertical="center"/>
      <protection hidden="1"/>
    </xf>
    <xf numFmtId="0" fontId="0" fillId="3" borderId="0" xfId="0" applyFill="1" applyBorder="1" applyAlignment="1" applyProtection="1">
      <alignment horizontal="center" vertical="top" wrapText="1"/>
    </xf>
    <xf numFmtId="0" fontId="0" fillId="6" borderId="1" xfId="0" applyFill="1" applyBorder="1" applyAlignment="1" applyProtection="1">
      <alignment horizontal="left" vertical="top" wrapText="1"/>
      <protection locked="0"/>
    </xf>
    <xf numFmtId="0" fontId="20" fillId="10" borderId="14" xfId="0" applyFont="1" applyFill="1" applyBorder="1" applyAlignment="1">
      <alignment horizontal="left" vertical="top"/>
    </xf>
    <xf numFmtId="0" fontId="0" fillId="6" borderId="5" xfId="0" applyFill="1" applyBorder="1" applyAlignment="1" applyProtection="1">
      <alignment horizontal="left" vertical="top" wrapText="1"/>
      <protection locked="0"/>
    </xf>
    <xf numFmtId="0" fontId="0" fillId="0" borderId="1" xfId="0" applyFill="1" applyBorder="1" applyProtection="1"/>
    <xf numFmtId="0" fontId="6" fillId="0" borderId="5" xfId="0" applyFont="1" applyBorder="1" applyAlignment="1">
      <alignment horizontal="left" vertical="top" wrapText="1"/>
    </xf>
    <xf numFmtId="0" fontId="32" fillId="0" borderId="0" xfId="0" applyFont="1" applyBorder="1" applyAlignment="1">
      <alignment horizontal="left" wrapText="1"/>
    </xf>
    <xf numFmtId="0" fontId="20" fillId="10" borderId="14" xfId="0" applyFont="1" applyFill="1" applyBorder="1" applyAlignment="1">
      <alignment horizontal="left" vertical="top" wrapText="1"/>
    </xf>
    <xf numFmtId="0" fontId="6" fillId="0" borderId="1" xfId="0" applyFont="1" applyBorder="1" applyAlignment="1">
      <alignment horizontal="left" vertical="top" wrapText="1"/>
    </xf>
    <xf numFmtId="0" fontId="0" fillId="6" borderId="14" xfId="0" applyFill="1" applyBorder="1" applyAlignment="1" applyProtection="1">
      <alignment horizontal="left" vertical="top" wrapText="1"/>
      <protection locked="0"/>
    </xf>
    <xf numFmtId="0" fontId="26" fillId="10" borderId="0" xfId="4" applyFont="1" applyFill="1" applyBorder="1" applyAlignment="1" applyProtection="1">
      <alignment horizontal="left" vertical="center" wrapText="1"/>
      <protection hidden="1"/>
    </xf>
    <xf numFmtId="0" fontId="0" fillId="0" borderId="0" xfId="0" applyAlignment="1">
      <alignment horizontal="left" wrapText="1"/>
    </xf>
    <xf numFmtId="0" fontId="0" fillId="4" borderId="1" xfId="0" applyFill="1" applyBorder="1" applyAlignment="1">
      <alignment horizontal="left" vertical="top" wrapText="1"/>
    </xf>
    <xf numFmtId="2" fontId="0" fillId="0" borderId="1" xfId="0" applyNumberFormat="1" applyBorder="1"/>
    <xf numFmtId="0" fontId="0" fillId="0" borderId="5" xfId="0" applyFill="1" applyBorder="1" applyAlignment="1" applyProtection="1">
      <alignment horizontal="left" vertical="top" wrapText="1"/>
    </xf>
    <xf numFmtId="0" fontId="2" fillId="6" borderId="1" xfId="0" applyFont="1" applyFill="1" applyBorder="1" applyAlignment="1" applyProtection="1">
      <alignment horizontal="left" vertical="top" wrapText="1"/>
      <protection locked="0"/>
    </xf>
    <xf numFmtId="0" fontId="0" fillId="4" borderId="1" xfId="0" applyFill="1" applyBorder="1" applyAlignment="1">
      <alignment horizontal="left" vertical="top" wrapText="1"/>
    </xf>
    <xf numFmtId="0" fontId="2" fillId="0" borderId="1" xfId="7" applyNumberFormat="1" applyFont="1" applyFill="1" applyBorder="1" applyAlignment="1">
      <alignment horizontal="center" vertical="center"/>
    </xf>
    <xf numFmtId="0" fontId="0" fillId="4" borderId="1" xfId="0" applyFill="1" applyBorder="1" applyAlignment="1">
      <alignment horizontal="left" vertical="top" wrapText="1"/>
    </xf>
    <xf numFmtId="0" fontId="0" fillId="4" borderId="1" xfId="0" applyFill="1" applyBorder="1" applyAlignment="1">
      <alignment horizontal="left" vertical="top" wrapText="1"/>
    </xf>
    <xf numFmtId="0" fontId="0" fillId="4" borderId="1" xfId="0" applyFill="1" applyBorder="1" applyAlignment="1">
      <alignment horizontal="left" vertical="top" wrapText="1"/>
    </xf>
    <xf numFmtId="0" fontId="0" fillId="4" borderId="1" xfId="0" applyFill="1" applyBorder="1" applyAlignment="1">
      <alignment horizontal="left" vertical="top" wrapText="1"/>
    </xf>
    <xf numFmtId="0" fontId="6" fillId="0" borderId="0" xfId="0" applyFont="1" applyAlignment="1">
      <alignment vertical="top" wrapText="1"/>
    </xf>
    <xf numFmtId="0" fontId="6" fillId="0" borderId="0" xfId="0" applyFont="1" applyAlignment="1">
      <alignment vertical="top"/>
    </xf>
    <xf numFmtId="0" fontId="0" fillId="6" borderId="1" xfId="0" applyFill="1" applyBorder="1" applyAlignment="1" applyProtection="1">
      <alignment vertical="top" wrapText="1"/>
      <protection locked="0"/>
    </xf>
    <xf numFmtId="0" fontId="0" fillId="13" borderId="0" xfId="0" applyFill="1" applyProtection="1"/>
    <xf numFmtId="0" fontId="0" fillId="13" borderId="0" xfId="0" applyFill="1" applyAlignment="1" applyProtection="1">
      <alignment horizontal="left" vertical="top"/>
    </xf>
    <xf numFmtId="0" fontId="0" fillId="0" borderId="0" xfId="0" applyAlignment="1" applyProtection="1">
      <alignment horizontal="left" vertical="top"/>
    </xf>
    <xf numFmtId="0" fontId="6" fillId="0" borderId="1" xfId="0" applyFont="1" applyBorder="1" applyProtection="1"/>
    <xf numFmtId="0" fontId="0" fillId="0" borderId="1" xfId="0" applyBorder="1" applyProtection="1"/>
    <xf numFmtId="0" fontId="6" fillId="0" borderId="1" xfId="0" applyFont="1" applyBorder="1" applyAlignment="1" applyProtection="1">
      <alignment horizontal="left" vertical="top"/>
    </xf>
    <xf numFmtId="0" fontId="32" fillId="0" borderId="0" xfId="0" applyFont="1" applyBorder="1" applyAlignment="1" applyProtection="1">
      <alignment horizontal="right"/>
    </xf>
    <xf numFmtId="0" fontId="6" fillId="0" borderId="0" xfId="0" applyFont="1" applyBorder="1" applyProtection="1"/>
    <xf numFmtId="0" fontId="0" fillId="0" borderId="0" xfId="0" applyBorder="1" applyProtection="1"/>
    <xf numFmtId="0" fontId="6" fillId="0" borderId="0" xfId="0" applyFont="1" applyBorder="1" applyAlignment="1" applyProtection="1">
      <alignment horizontal="left" vertical="top"/>
    </xf>
    <xf numFmtId="0" fontId="0" fillId="0" borderId="19" xfId="0" applyFill="1" applyBorder="1" applyAlignment="1" applyProtection="1">
      <alignment horizontal="right" vertical="top" wrapText="1"/>
    </xf>
    <xf numFmtId="0" fontId="6" fillId="0" borderId="0" xfId="0" applyFont="1" applyProtection="1"/>
    <xf numFmtId="0" fontId="19" fillId="10" borderId="0" xfId="0" applyFont="1" applyFill="1" applyBorder="1" applyAlignment="1" applyProtection="1">
      <alignment vertical="top"/>
    </xf>
    <xf numFmtId="0" fontId="0" fillId="14" borderId="1" xfId="0" applyFill="1" applyBorder="1" applyProtection="1"/>
    <xf numFmtId="0" fontId="7" fillId="0" borderId="0" xfId="0" applyFont="1" applyAlignment="1" applyProtection="1">
      <alignment horizontal="left" vertical="top"/>
    </xf>
    <xf numFmtId="0" fontId="0" fillId="15" borderId="1" xfId="0" applyFill="1" applyBorder="1" applyProtection="1"/>
    <xf numFmtId="0" fontId="19" fillId="10" borderId="0" xfId="0" applyFont="1" applyFill="1" applyBorder="1" applyAlignment="1" applyProtection="1">
      <alignment vertical="top" wrapText="1"/>
    </xf>
    <xf numFmtId="9" fontId="0" fillId="14" borderId="1" xfId="0" applyNumberFormat="1" applyFill="1" applyBorder="1" applyProtection="1"/>
    <xf numFmtId="0" fontId="19" fillId="10" borderId="0" xfId="0" applyFont="1" applyFill="1" applyBorder="1" applyAlignment="1" applyProtection="1">
      <alignment horizontal="left" vertical="top"/>
    </xf>
    <xf numFmtId="2" fontId="0" fillId="4" borderId="1" xfId="3" applyNumberFormat="1" applyFont="1" applyFill="1" applyBorder="1" applyAlignment="1" applyProtection="1">
      <alignment horizontal="left" vertical="top" wrapText="1"/>
    </xf>
    <xf numFmtId="2" fontId="6" fillId="4" borderId="0" xfId="0" applyNumberFormat="1" applyFont="1" applyFill="1" applyBorder="1" applyAlignment="1" applyProtection="1">
      <alignment horizontal="right"/>
    </xf>
    <xf numFmtId="0" fontId="7" fillId="9" borderId="0" xfId="0" applyFont="1" applyFill="1" applyProtection="1"/>
    <xf numFmtId="0" fontId="0" fillId="9" borderId="0" xfId="0" applyFill="1" applyAlignment="1" applyProtection="1">
      <alignment horizontal="left" vertical="top" wrapText="1"/>
    </xf>
    <xf numFmtId="10" fontId="0" fillId="14" borderId="1" xfId="0" applyNumberFormat="1" applyFill="1" applyBorder="1" applyProtection="1"/>
    <xf numFmtId="0" fontId="0" fillId="2" borderId="2" xfId="0" applyFill="1" applyBorder="1" applyAlignment="1" applyProtection="1">
      <alignment horizontal="left" vertical="center" wrapText="1"/>
    </xf>
    <xf numFmtId="0" fontId="0" fillId="2" borderId="1" xfId="0" applyFill="1" applyBorder="1" applyAlignment="1" applyProtection="1">
      <alignment horizontal="left" vertical="center" wrapText="1"/>
    </xf>
    <xf numFmtId="0" fontId="0" fillId="2" borderId="5" xfId="0" applyFill="1" applyBorder="1" applyAlignment="1" applyProtection="1">
      <alignment horizontal="left" vertical="center" wrapText="1"/>
    </xf>
    <xf numFmtId="1" fontId="0" fillId="0" borderId="0" xfId="0" applyNumberFormat="1" applyProtection="1"/>
    <xf numFmtId="22" fontId="0" fillId="15" borderId="1" xfId="0" applyNumberFormat="1" applyFill="1" applyBorder="1" applyProtection="1"/>
    <xf numFmtId="0" fontId="31" fillId="9" borderId="0" xfId="0" applyFont="1" applyFill="1" applyBorder="1" applyAlignment="1" applyProtection="1">
      <alignment horizontal="left" vertical="top"/>
    </xf>
    <xf numFmtId="0" fontId="7" fillId="9" borderId="0" xfId="0" applyFont="1" applyFill="1" applyBorder="1" applyAlignment="1" applyProtection="1">
      <alignment horizontal="left" vertical="top"/>
    </xf>
    <xf numFmtId="0" fontId="50" fillId="10" borderId="0" xfId="0" applyFont="1" applyFill="1" applyBorder="1" applyAlignment="1" applyProtection="1">
      <alignment vertical="top"/>
    </xf>
    <xf numFmtId="0" fontId="51" fillId="4" borderId="0" xfId="0" applyFont="1" applyFill="1" applyBorder="1" applyAlignment="1" applyProtection="1">
      <alignment horizontal="left" wrapText="1"/>
    </xf>
    <xf numFmtId="0" fontId="52" fillId="4" borderId="0" xfId="0" applyFont="1" applyFill="1" applyBorder="1" applyProtection="1"/>
    <xf numFmtId="1" fontId="52" fillId="4" borderId="0" xfId="0" applyNumberFormat="1" applyFont="1" applyFill="1" applyBorder="1" applyAlignment="1" applyProtection="1">
      <alignment horizontal="right" vertical="top"/>
    </xf>
    <xf numFmtId="0" fontId="2" fillId="0" borderId="0" xfId="0" applyFont="1" applyAlignment="1" applyProtection="1">
      <alignment horizontal="left" vertical="top"/>
    </xf>
    <xf numFmtId="0" fontId="6" fillId="4" borderId="0" xfId="0" applyFont="1" applyFill="1" applyAlignment="1" applyProtection="1">
      <alignment horizontal="right"/>
    </xf>
    <xf numFmtId="0" fontId="7" fillId="0" borderId="0" xfId="0" applyFont="1" applyFill="1" applyAlignment="1" applyProtection="1">
      <alignment horizontal="left" vertical="top"/>
    </xf>
    <xf numFmtId="0" fontId="0" fillId="0" borderId="0" xfId="0" applyFill="1" applyAlignment="1" applyProtection="1">
      <alignment horizontal="left" vertical="top" wrapText="1"/>
    </xf>
    <xf numFmtId="9" fontId="0" fillId="6" borderId="1" xfId="1" applyFont="1" applyFill="1" applyBorder="1" applyAlignment="1" applyProtection="1">
      <alignment horizontal="left" vertical="top" wrapText="1"/>
      <protection locked="0"/>
    </xf>
    <xf numFmtId="0" fontId="0" fillId="6" borderId="1" xfId="3" applyNumberFormat="1" applyFont="1" applyFill="1" applyBorder="1" applyAlignment="1" applyProtection="1">
      <alignment horizontal="left" vertical="top" wrapText="1"/>
      <protection locked="0"/>
    </xf>
    <xf numFmtId="0" fontId="0" fillId="0" borderId="0" xfId="0" applyBorder="1" applyProtection="1">
      <protection locked="0"/>
    </xf>
    <xf numFmtId="0" fontId="0" fillId="0" borderId="0" xfId="0" applyAlignment="1" applyProtection="1">
      <alignment horizontal="left" vertical="top" wrapText="1"/>
      <protection locked="0"/>
    </xf>
    <xf numFmtId="1" fontId="0" fillId="6" borderId="1" xfId="3" applyNumberFormat="1" applyFont="1" applyFill="1" applyBorder="1" applyAlignment="1" applyProtection="1">
      <alignment horizontal="left" vertical="top" wrapText="1"/>
      <protection locked="0"/>
    </xf>
    <xf numFmtId="0" fontId="53" fillId="0" borderId="25" xfId="0" applyFont="1" applyBorder="1" applyAlignment="1" applyProtection="1">
      <alignment horizontal="left" vertical="top" wrapText="1"/>
    </xf>
    <xf numFmtId="0" fontId="0" fillId="0" borderId="25" xfId="0" applyBorder="1" applyProtection="1"/>
    <xf numFmtId="0" fontId="0" fillId="0" borderId="26" xfId="0" applyBorder="1" applyProtection="1"/>
    <xf numFmtId="0" fontId="53" fillId="0" borderId="27" xfId="0" applyFont="1" applyBorder="1" applyAlignment="1" applyProtection="1">
      <alignment wrapText="1"/>
    </xf>
    <xf numFmtId="0" fontId="53" fillId="0" borderId="25" xfId="0" applyFont="1" applyBorder="1" applyAlignment="1" applyProtection="1">
      <alignment wrapText="1"/>
    </xf>
    <xf numFmtId="0" fontId="0" fillId="6" borderId="0" xfId="0" applyFill="1" applyProtection="1"/>
    <xf numFmtId="0" fontId="55" fillId="0" borderId="0" xfId="0" applyFont="1" applyProtection="1"/>
    <xf numFmtId="0" fontId="6" fillId="4" borderId="28" xfId="0" applyFont="1" applyFill="1" applyBorder="1" applyAlignment="1" applyProtection="1">
      <alignment horizontal="right"/>
    </xf>
    <xf numFmtId="0" fontId="30" fillId="0" borderId="0" xfId="0" applyFont="1" applyFill="1" applyBorder="1" applyAlignment="1" applyProtection="1">
      <alignment horizontal="center" vertical="center" wrapText="1"/>
      <protection hidden="1"/>
    </xf>
    <xf numFmtId="0" fontId="0" fillId="0" borderId="0" xfId="0" applyBorder="1" applyAlignment="1" applyProtection="1">
      <alignment horizontal="left" vertical="top" wrapText="1"/>
      <protection hidden="1"/>
    </xf>
    <xf numFmtId="0" fontId="0" fillId="0" borderId="0" xfId="0" applyFill="1" applyBorder="1" applyAlignment="1" applyProtection="1">
      <alignment horizontal="left" vertical="top" wrapText="1"/>
      <protection hidden="1"/>
    </xf>
    <xf numFmtId="0" fontId="0" fillId="0" borderId="10" xfId="0" applyBorder="1" applyAlignment="1" applyProtection="1">
      <alignment horizontal="left" vertical="top" wrapText="1"/>
      <protection hidden="1"/>
    </xf>
    <xf numFmtId="0" fontId="4" fillId="0" borderId="0" xfId="2" applyBorder="1" applyAlignment="1" applyProtection="1">
      <alignment horizontal="left" vertical="top"/>
      <protection hidden="1"/>
    </xf>
    <xf numFmtId="0" fontId="0" fillId="8" borderId="0" xfId="0" applyFill="1" applyBorder="1" applyAlignment="1" applyProtection="1">
      <alignment horizontal="left" vertical="top" wrapText="1"/>
      <protection hidden="1"/>
    </xf>
    <xf numFmtId="0" fontId="32" fillId="0" borderId="0" xfId="0" applyFont="1" applyBorder="1" applyAlignment="1" applyProtection="1">
      <alignment horizontal="left"/>
      <protection hidden="1"/>
    </xf>
    <xf numFmtId="0" fontId="33" fillId="0" borderId="0" xfId="0" applyFont="1" applyBorder="1" applyAlignment="1" applyProtection="1">
      <alignment horizontal="left"/>
      <protection hidden="1"/>
    </xf>
    <xf numFmtId="0" fontId="30" fillId="0" borderId="0" xfId="0" applyFont="1" applyFill="1" applyAlignment="1" applyProtection="1">
      <alignment horizontal="center" vertical="center"/>
      <protection hidden="1"/>
    </xf>
    <xf numFmtId="0" fontId="0" fillId="0" borderId="0" xfId="0" applyProtection="1">
      <protection hidden="1"/>
    </xf>
    <xf numFmtId="0" fontId="4" fillId="0" borderId="0" xfId="2" applyBorder="1" applyAlignment="1" applyProtection="1">
      <alignment horizontal="left" vertical="top" wrapText="1"/>
      <protection hidden="1"/>
    </xf>
    <xf numFmtId="0" fontId="28" fillId="0" borderId="19" xfId="0" applyFont="1" applyFill="1" applyBorder="1" applyAlignment="1" applyProtection="1">
      <alignment vertical="top"/>
      <protection hidden="1"/>
    </xf>
    <xf numFmtId="0" fontId="0" fillId="0" borderId="19" xfId="0" applyFont="1" applyFill="1" applyBorder="1" applyAlignment="1" applyProtection="1">
      <alignment horizontal="left" vertical="top" wrapText="1"/>
      <protection hidden="1"/>
    </xf>
    <xf numFmtId="0" fontId="0" fillId="0" borderId="19" xfId="0" applyFill="1" applyBorder="1" applyAlignment="1" applyProtection="1">
      <alignment horizontal="left" vertical="top" wrapText="1"/>
      <protection hidden="1"/>
    </xf>
    <xf numFmtId="0" fontId="4" fillId="0" borderId="19" xfId="2" applyBorder="1" applyAlignment="1" applyProtection="1">
      <alignment horizontal="left" vertical="top" wrapText="1"/>
      <protection hidden="1"/>
    </xf>
    <xf numFmtId="0" fontId="19" fillId="10" borderId="0" xfId="0" applyFont="1" applyFill="1" applyBorder="1" applyAlignment="1" applyProtection="1">
      <alignment vertical="top"/>
      <protection hidden="1"/>
    </xf>
    <xf numFmtId="0" fontId="0" fillId="10" borderId="0" xfId="0" applyFill="1" applyBorder="1" applyAlignment="1" applyProtection="1">
      <alignment horizontal="left" vertical="top" wrapText="1"/>
      <protection hidden="1"/>
    </xf>
    <xf numFmtId="0" fontId="19" fillId="10" borderId="0" xfId="0" applyFont="1" applyFill="1" applyBorder="1" applyAlignment="1" applyProtection="1">
      <alignment vertical="top" wrapText="1"/>
      <protection hidden="1"/>
    </xf>
    <xf numFmtId="0" fontId="0" fillId="0" borderId="0" xfId="0" applyFill="1" applyBorder="1" applyAlignment="1" applyProtection="1">
      <alignment vertical="top" wrapText="1"/>
      <protection hidden="1"/>
    </xf>
    <xf numFmtId="0" fontId="0" fillId="0" borderId="0" xfId="0" applyFill="1" applyProtection="1">
      <protection hidden="1"/>
    </xf>
    <xf numFmtId="0" fontId="29" fillId="10" borderId="0" xfId="2" applyFont="1" applyFill="1" applyBorder="1" applyAlignment="1" applyProtection="1">
      <alignment horizontal="right" vertical="top"/>
      <protection hidden="1"/>
    </xf>
    <xf numFmtId="0" fontId="0" fillId="0" borderId="0" xfId="0" applyFill="1" applyBorder="1" applyAlignment="1" applyProtection="1">
      <alignment vertical="top"/>
      <protection hidden="1"/>
    </xf>
    <xf numFmtId="0" fontId="7" fillId="9" borderId="0" xfId="0" applyFont="1" applyFill="1" applyBorder="1" applyAlignment="1" applyProtection="1">
      <alignment horizontal="left" vertical="top"/>
      <protection hidden="1"/>
    </xf>
    <xf numFmtId="0" fontId="6" fillId="9" borderId="0" xfId="0" applyFont="1" applyFill="1" applyBorder="1" applyAlignment="1" applyProtection="1">
      <alignment horizontal="left" vertical="top" wrapText="1"/>
      <protection hidden="1"/>
    </xf>
    <xf numFmtId="0" fontId="4" fillId="0" borderId="0" xfId="2" applyBorder="1" applyAlignment="1" applyProtection="1">
      <alignment vertical="top"/>
      <protection hidden="1"/>
    </xf>
    <xf numFmtId="0" fontId="20" fillId="10" borderId="0" xfId="0" applyFont="1" applyFill="1" applyBorder="1" applyAlignment="1" applyProtection="1">
      <alignment vertical="top" wrapText="1"/>
      <protection hidden="1"/>
    </xf>
    <xf numFmtId="0" fontId="19" fillId="10" borderId="0" xfId="0" applyFont="1" applyFill="1" applyBorder="1" applyAlignment="1" applyProtection="1">
      <alignment horizontal="left" vertical="top" wrapText="1"/>
      <protection hidden="1"/>
    </xf>
    <xf numFmtId="0" fontId="19" fillId="10" borderId="0" xfId="0" applyFont="1" applyFill="1" applyBorder="1" applyAlignment="1" applyProtection="1">
      <alignment horizontal="left" vertical="top"/>
      <protection hidden="1"/>
    </xf>
    <xf numFmtId="0" fontId="19" fillId="10" borderId="0" xfId="0" applyFont="1" applyFill="1" applyBorder="1" applyAlignment="1" applyProtection="1">
      <alignment horizontal="left" vertical="top" indent="1"/>
      <protection hidden="1"/>
    </xf>
    <xf numFmtId="0" fontId="0" fillId="9" borderId="0" xfId="0" applyFill="1" applyBorder="1" applyAlignment="1" applyProtection="1">
      <alignment horizontal="left" vertical="top" wrapText="1"/>
      <protection hidden="1"/>
    </xf>
    <xf numFmtId="0" fontId="0" fillId="0" borderId="0" xfId="0" applyFont="1" applyBorder="1" applyAlignment="1" applyProtection="1">
      <alignment vertical="top"/>
      <protection hidden="1"/>
    </xf>
    <xf numFmtId="0" fontId="0" fillId="0" borderId="0" xfId="0" applyFont="1" applyBorder="1" applyAlignment="1" applyProtection="1">
      <alignment vertical="top" wrapText="1"/>
      <protection hidden="1"/>
    </xf>
    <xf numFmtId="0" fontId="0" fillId="0" borderId="0" xfId="0" applyFill="1" applyBorder="1" applyAlignment="1" applyProtection="1">
      <alignment horizontal="left" vertical="top"/>
      <protection hidden="1"/>
    </xf>
    <xf numFmtId="0" fontId="15" fillId="0" borderId="0" xfId="0" applyFont="1" applyFill="1" applyBorder="1" applyAlignment="1" applyProtection="1">
      <alignment vertical="top"/>
      <protection hidden="1"/>
    </xf>
    <xf numFmtId="0" fontId="0" fillId="0" borderId="0" xfId="0" applyFont="1" applyFill="1" applyBorder="1" applyAlignment="1" applyProtection="1">
      <alignment horizontal="left" vertical="top" wrapText="1"/>
      <protection hidden="1"/>
    </xf>
    <xf numFmtId="0" fontId="31" fillId="9" borderId="0" xfId="0" applyFont="1" applyFill="1" applyBorder="1" applyAlignment="1" applyProtection="1">
      <alignment horizontal="left" vertical="top"/>
      <protection hidden="1"/>
    </xf>
    <xf numFmtId="0" fontId="8" fillId="9" borderId="0" xfId="0" applyFont="1" applyFill="1" applyAlignment="1" applyProtection="1">
      <alignment horizontal="left" vertical="top"/>
      <protection hidden="1"/>
    </xf>
    <xf numFmtId="0" fontId="0" fillId="9" borderId="0" xfId="0" applyFill="1" applyProtection="1">
      <protection hidden="1"/>
    </xf>
    <xf numFmtId="0" fontId="1" fillId="10" borderId="11" xfId="0" applyFont="1" applyFill="1" applyBorder="1" applyAlignment="1" applyProtection="1">
      <alignment horizontal="left" vertical="top"/>
      <protection hidden="1"/>
    </xf>
    <xf numFmtId="0" fontId="1" fillId="10" borderId="4" xfId="0" applyFont="1" applyFill="1" applyBorder="1" applyAlignment="1" applyProtection="1">
      <alignment horizontal="left" vertical="top"/>
      <protection hidden="1"/>
    </xf>
    <xf numFmtId="10" fontId="1" fillId="10" borderId="9" xfId="1" applyNumberFormat="1" applyFont="1" applyFill="1" applyBorder="1" applyAlignment="1" applyProtection="1">
      <alignment horizontal="left" vertical="top" wrapText="1"/>
      <protection hidden="1"/>
    </xf>
    <xf numFmtId="0" fontId="0" fillId="2" borderId="1" xfId="0" applyFill="1" applyBorder="1" applyAlignment="1" applyProtection="1">
      <alignment horizontal="left" vertical="center" wrapText="1"/>
      <protection hidden="1"/>
    </xf>
    <xf numFmtId="0" fontId="4" fillId="4" borderId="1" xfId="2" applyFill="1" applyBorder="1" applyAlignment="1" applyProtection="1">
      <alignment horizontal="center" vertical="center" wrapText="1"/>
      <protection hidden="1"/>
    </xf>
    <xf numFmtId="1" fontId="0" fillId="4" borderId="1" xfId="0" applyNumberFormat="1" applyFill="1" applyBorder="1" applyAlignment="1" applyProtection="1">
      <alignment horizontal="center" vertical="center"/>
      <protection hidden="1"/>
    </xf>
    <xf numFmtId="2" fontId="0" fillId="4" borderId="1" xfId="0" applyNumberFormat="1" applyFill="1" applyBorder="1" applyAlignment="1" applyProtection="1">
      <alignment horizontal="left" vertical="center" wrapText="1"/>
      <protection hidden="1"/>
    </xf>
    <xf numFmtId="0" fontId="20" fillId="10" borderId="0" xfId="0" applyFont="1" applyFill="1" applyBorder="1" applyAlignment="1" applyProtection="1">
      <alignment horizontal="left" vertical="top"/>
      <protection hidden="1"/>
    </xf>
    <xf numFmtId="0" fontId="20" fillId="10" borderId="0" xfId="0" applyFont="1" applyFill="1" applyBorder="1" applyAlignment="1" applyProtection="1">
      <alignment horizontal="left" vertical="top" wrapText="1"/>
      <protection hidden="1"/>
    </xf>
    <xf numFmtId="0" fontId="6" fillId="0" borderId="0" xfId="0" applyFont="1" applyBorder="1" applyAlignment="1" applyProtection="1">
      <alignment horizontal="left" vertical="top" wrapText="1"/>
      <protection hidden="1"/>
    </xf>
    <xf numFmtId="0" fontId="28" fillId="0" borderId="19" xfId="0" applyFont="1" applyBorder="1" applyAlignment="1" applyProtection="1">
      <alignment horizontal="left"/>
      <protection hidden="1"/>
    </xf>
    <xf numFmtId="0" fontId="28" fillId="0" borderId="19" xfId="0" applyFont="1" applyBorder="1" applyAlignment="1" applyProtection="1">
      <alignment vertical="top" wrapText="1"/>
      <protection hidden="1"/>
    </xf>
    <xf numFmtId="0" fontId="0" fillId="0" borderId="19" xfId="0" applyFill="1" applyBorder="1" applyAlignment="1" applyProtection="1">
      <alignment horizontal="left" vertical="top"/>
      <protection hidden="1"/>
    </xf>
    <xf numFmtId="0" fontId="0" fillId="0" borderId="19" xfId="0" applyBorder="1" applyAlignment="1" applyProtection="1">
      <alignment horizontal="left" vertical="top" wrapText="1"/>
      <protection hidden="1"/>
    </xf>
    <xf numFmtId="0" fontId="5" fillId="0" borderId="0" xfId="0" applyFont="1" applyFill="1" applyBorder="1" applyAlignment="1" applyProtection="1">
      <alignment horizontal="left"/>
      <protection hidden="1"/>
    </xf>
    <xf numFmtId="0" fontId="8" fillId="0" borderId="0" xfId="0" applyFont="1" applyFill="1" applyAlignment="1" applyProtection="1">
      <alignment horizontal="left" vertical="top"/>
      <protection hidden="1"/>
    </xf>
    <xf numFmtId="0" fontId="0" fillId="5" borderId="0" xfId="0" applyFill="1" applyProtection="1">
      <protection hidden="1"/>
    </xf>
    <xf numFmtId="0" fontId="0" fillId="2" borderId="2" xfId="0" applyFill="1" applyBorder="1" applyAlignment="1" applyProtection="1">
      <alignment horizontal="left" vertical="center" wrapText="1"/>
      <protection hidden="1"/>
    </xf>
    <xf numFmtId="0" fontId="4" fillId="4" borderId="2" xfId="2" applyFill="1" applyBorder="1" applyAlignment="1" applyProtection="1">
      <alignment horizontal="center" vertical="center" wrapText="1"/>
      <protection hidden="1"/>
    </xf>
    <xf numFmtId="1" fontId="0" fillId="4" borderId="2" xfId="0" applyNumberFormat="1" applyFill="1" applyBorder="1" applyAlignment="1" applyProtection="1">
      <alignment horizontal="center" vertical="center"/>
      <protection hidden="1"/>
    </xf>
    <xf numFmtId="2" fontId="0" fillId="4" borderId="2" xfId="0" applyNumberFormat="1" applyFill="1" applyBorder="1" applyAlignment="1" applyProtection="1">
      <alignment horizontal="left" vertical="center" wrapText="1"/>
      <protection hidden="1"/>
    </xf>
    <xf numFmtId="0" fontId="0" fillId="4" borderId="12" xfId="0" applyFill="1" applyBorder="1" applyAlignment="1" applyProtection="1">
      <alignment horizontal="center" vertical="center" wrapText="1"/>
      <protection hidden="1"/>
    </xf>
    <xf numFmtId="0" fontId="0" fillId="0" borderId="0" xfId="0" applyFill="1" applyAlignment="1" applyProtection="1">
      <alignment horizontal="left" vertical="top" wrapText="1"/>
      <protection hidden="1"/>
    </xf>
    <xf numFmtId="0" fontId="0" fillId="0" borderId="0" xfId="0" applyAlignment="1" applyProtection="1">
      <alignment horizontal="left" vertical="top" wrapText="1"/>
      <protection hidden="1"/>
    </xf>
    <xf numFmtId="0" fontId="0" fillId="5" borderId="0" xfId="0" applyFill="1" applyAlignment="1" applyProtection="1">
      <alignment horizontal="left" vertical="top" wrapText="1"/>
      <protection hidden="1"/>
    </xf>
    <xf numFmtId="0" fontId="4" fillId="4" borderId="12" xfId="2" applyFill="1" applyBorder="1" applyAlignment="1" applyProtection="1">
      <alignment horizontal="center" vertical="center" wrapText="1"/>
      <protection hidden="1"/>
    </xf>
    <xf numFmtId="0" fontId="7" fillId="5" borderId="0" xfId="0" applyFont="1" applyFill="1" applyBorder="1" applyAlignment="1" applyProtection="1">
      <alignment horizontal="left" vertical="top"/>
      <protection hidden="1"/>
    </xf>
    <xf numFmtId="0" fontId="4" fillId="5" borderId="0" xfId="2" applyFill="1" applyBorder="1" applyAlignment="1" applyProtection="1">
      <alignment horizontal="center" vertical="center" wrapText="1"/>
      <protection hidden="1"/>
    </xf>
    <xf numFmtId="0" fontId="0" fillId="5" borderId="0" xfId="0" applyFill="1" applyBorder="1" applyAlignment="1" applyProtection="1">
      <alignment horizontal="left" vertical="top" wrapText="1"/>
      <protection hidden="1"/>
    </xf>
    <xf numFmtId="0" fontId="4" fillId="5" borderId="0" xfId="2" applyFill="1" applyAlignment="1" applyProtection="1">
      <alignment horizontal="left" vertical="top" wrapText="1"/>
      <protection hidden="1"/>
    </xf>
    <xf numFmtId="0" fontId="0" fillId="0" borderId="0" xfId="0" applyFill="1" applyBorder="1" applyAlignment="1" applyProtection="1">
      <alignment horizontal="left" vertical="center" wrapText="1"/>
      <protection hidden="1"/>
    </xf>
    <xf numFmtId="0" fontId="4" fillId="0" borderId="0" xfId="2" applyFill="1" applyBorder="1" applyAlignment="1" applyProtection="1">
      <alignment horizontal="center" vertical="center" wrapText="1"/>
      <protection hidden="1"/>
    </xf>
    <xf numFmtId="0" fontId="0" fillId="0" borderId="0" xfId="0" applyFill="1" applyBorder="1" applyAlignment="1" applyProtection="1">
      <alignment horizontal="center" vertical="center"/>
      <protection hidden="1"/>
    </xf>
    <xf numFmtId="0" fontId="4" fillId="0" borderId="0" xfId="2" applyAlignment="1" applyProtection="1">
      <alignment horizontal="left" vertical="top" wrapText="1"/>
      <protection hidden="1"/>
    </xf>
    <xf numFmtId="0" fontId="19" fillId="10" borderId="0" xfId="0" applyFont="1" applyFill="1" applyAlignment="1" applyProtection="1">
      <alignment horizontal="left" vertical="center"/>
      <protection hidden="1"/>
    </xf>
    <xf numFmtId="0" fontId="19" fillId="10" borderId="0" xfId="0" applyFont="1" applyFill="1" applyAlignment="1" applyProtection="1">
      <alignment vertical="top"/>
      <protection hidden="1"/>
    </xf>
    <xf numFmtId="0" fontId="20" fillId="10" borderId="0" xfId="0" applyFont="1" applyFill="1" applyBorder="1" applyAlignment="1" applyProtection="1">
      <alignment horizontal="left" vertical="center"/>
      <protection hidden="1"/>
    </xf>
    <xf numFmtId="0" fontId="0" fillId="0" borderId="0" xfId="0" applyFont="1" applyFill="1" applyBorder="1" applyAlignment="1" applyProtection="1">
      <alignment vertical="top" wrapText="1"/>
      <protection hidden="1"/>
    </xf>
    <xf numFmtId="14" fontId="0" fillId="0" borderId="0" xfId="0" applyNumberFormat="1" applyFill="1" applyBorder="1" applyAlignment="1" applyProtection="1">
      <alignment vertical="center"/>
      <protection hidden="1"/>
    </xf>
    <xf numFmtId="0" fontId="31" fillId="5" borderId="0" xfId="0" applyFont="1" applyFill="1" applyBorder="1" applyAlignment="1" applyProtection="1">
      <alignment horizontal="left" vertical="top"/>
      <protection hidden="1"/>
    </xf>
    <xf numFmtId="0" fontId="7" fillId="5" borderId="0" xfId="0" applyFont="1" applyFill="1" applyAlignment="1" applyProtection="1">
      <alignment horizontal="left" vertical="top"/>
      <protection hidden="1"/>
    </xf>
    <xf numFmtId="10" fontId="1" fillId="10" borderId="9" xfId="1" applyNumberFormat="1" applyFont="1" applyFill="1" applyBorder="1" applyAlignment="1" applyProtection="1">
      <alignment horizontal="center" vertical="center" wrapText="1"/>
      <protection hidden="1"/>
    </xf>
    <xf numFmtId="0" fontId="0" fillId="2" borderId="5" xfId="0" applyFill="1" applyBorder="1" applyAlignment="1" applyProtection="1">
      <alignment horizontal="left" vertical="center" wrapText="1"/>
      <protection hidden="1"/>
    </xf>
    <xf numFmtId="0" fontId="4" fillId="4" borderId="5" xfId="2" applyFill="1" applyBorder="1" applyAlignment="1" applyProtection="1">
      <alignment horizontal="center" vertical="center" wrapText="1"/>
      <protection hidden="1"/>
    </xf>
    <xf numFmtId="1" fontId="0" fillId="4" borderId="5" xfId="0" applyNumberFormat="1" applyFill="1" applyBorder="1" applyAlignment="1" applyProtection="1">
      <alignment horizontal="center" vertical="center"/>
      <protection hidden="1"/>
    </xf>
    <xf numFmtId="2" fontId="0" fillId="4" borderId="5" xfId="0" applyNumberFormat="1" applyFill="1" applyBorder="1" applyAlignment="1" applyProtection="1">
      <alignment horizontal="left" vertical="center" wrapText="1"/>
      <protection hidden="1"/>
    </xf>
    <xf numFmtId="0" fontId="0" fillId="10" borderId="0" xfId="0" applyFont="1" applyFill="1" applyBorder="1" applyAlignment="1" applyProtection="1">
      <alignment vertical="top"/>
      <protection hidden="1"/>
    </xf>
    <xf numFmtId="0" fontId="6" fillId="10" borderId="0" xfId="0" applyFont="1" applyFill="1" applyBorder="1" applyAlignment="1" applyProtection="1">
      <alignment vertical="top" wrapText="1"/>
      <protection hidden="1"/>
    </xf>
    <xf numFmtId="0" fontId="31" fillId="5" borderId="0" xfId="0" applyFont="1" applyFill="1" applyAlignment="1" applyProtection="1">
      <alignment horizontal="left" vertical="top"/>
      <protection hidden="1"/>
    </xf>
    <xf numFmtId="0" fontId="0" fillId="4" borderId="12" xfId="0" applyFill="1" applyBorder="1" applyAlignment="1" applyProtection="1">
      <alignment horizontal="center" vertical="center"/>
      <protection hidden="1"/>
    </xf>
    <xf numFmtId="0" fontId="38" fillId="10" borderId="0" xfId="0" applyFont="1" applyFill="1" applyBorder="1" applyAlignment="1" applyProtection="1">
      <alignment horizontal="left" vertical="top"/>
      <protection hidden="1"/>
    </xf>
    <xf numFmtId="0" fontId="39" fillId="10" borderId="0" xfId="0" applyFont="1" applyFill="1" applyBorder="1" applyAlignment="1" applyProtection="1">
      <alignment vertical="top" wrapText="1"/>
      <protection hidden="1"/>
    </xf>
    <xf numFmtId="0" fontId="39" fillId="10" borderId="0" xfId="0" applyFont="1" applyFill="1" applyBorder="1" applyAlignment="1" applyProtection="1">
      <alignment horizontal="left" vertical="top" wrapText="1"/>
      <protection hidden="1"/>
    </xf>
    <xf numFmtId="0" fontId="17" fillId="0" borderId="0" xfId="0" applyFont="1" applyFill="1" applyBorder="1" applyAlignment="1" applyProtection="1">
      <alignment horizontal="left" vertical="top" wrapText="1"/>
      <protection hidden="1"/>
    </xf>
    <xf numFmtId="0" fontId="28" fillId="0" borderId="19" xfId="0" applyFont="1" applyBorder="1" applyAlignment="1" applyProtection="1">
      <alignment vertical="top"/>
      <protection hidden="1"/>
    </xf>
    <xf numFmtId="0" fontId="0" fillId="0" borderId="0" xfId="0" applyBorder="1" applyAlignment="1" applyProtection="1">
      <alignment horizontal="left" vertical="top"/>
      <protection hidden="1"/>
    </xf>
    <xf numFmtId="0" fontId="40" fillId="0" borderId="0" xfId="0" applyFont="1" applyBorder="1" applyAlignment="1" applyProtection="1">
      <alignment horizontal="left" vertical="top"/>
      <protection hidden="1"/>
    </xf>
    <xf numFmtId="0" fontId="26" fillId="10" borderId="0" xfId="0" applyFont="1" applyFill="1" applyBorder="1" applyAlignment="1" applyProtection="1">
      <alignment horizontal="left" vertical="center"/>
      <protection hidden="1"/>
    </xf>
    <xf numFmtId="0" fontId="1" fillId="10" borderId="0" xfId="0" applyFont="1" applyFill="1" applyBorder="1" applyAlignment="1" applyProtection="1">
      <alignment horizontal="left" vertical="center" wrapText="1"/>
      <protection hidden="1"/>
    </xf>
    <xf numFmtId="0" fontId="10" fillId="10" borderId="0" xfId="2" applyFont="1" applyFill="1" applyBorder="1" applyAlignment="1" applyProtection="1">
      <alignment horizontal="center" vertical="center" wrapText="1"/>
      <protection hidden="1"/>
    </xf>
    <xf numFmtId="0" fontId="1" fillId="10" borderId="0" xfId="0" applyFont="1" applyFill="1" applyBorder="1" applyAlignment="1" applyProtection="1">
      <alignment horizontal="center" vertical="center"/>
      <protection hidden="1"/>
    </xf>
    <xf numFmtId="0" fontId="1" fillId="10" borderId="0"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protection hidden="1"/>
    </xf>
    <xf numFmtId="0" fontId="1" fillId="0" borderId="0" xfId="0" applyFont="1" applyFill="1" applyBorder="1" applyAlignment="1" applyProtection="1">
      <alignment horizontal="left" vertical="center" wrapText="1"/>
      <protection hidden="1"/>
    </xf>
    <xf numFmtId="0" fontId="10" fillId="0" borderId="0" xfId="2" applyFont="1" applyFill="1" applyBorder="1" applyAlignment="1" applyProtection="1">
      <alignment horizontal="center" vertical="center" wrapText="1"/>
      <protection hidden="1"/>
    </xf>
    <xf numFmtId="0" fontId="1" fillId="0" borderId="0" xfId="0" applyFont="1" applyFill="1" applyBorder="1" applyAlignment="1" applyProtection="1">
      <alignment horizontal="center" vertical="center"/>
      <protection hidden="1"/>
    </xf>
    <xf numFmtId="0" fontId="1" fillId="0" borderId="0" xfId="0" applyFont="1" applyFill="1" applyBorder="1" applyAlignment="1" applyProtection="1">
      <alignment horizontal="left" vertical="top" wrapText="1"/>
      <protection hidden="1"/>
    </xf>
    <xf numFmtId="0" fontId="0" fillId="10" borderId="0" xfId="0" applyFont="1" applyFill="1" applyBorder="1" applyAlignment="1" applyProtection="1">
      <alignment vertical="top" wrapText="1"/>
      <protection hidden="1"/>
    </xf>
    <xf numFmtId="0" fontId="0" fillId="10" borderId="0" xfId="0" applyFill="1" applyBorder="1" applyAlignment="1" applyProtection="1">
      <alignment horizontal="left" vertical="top" indent="1"/>
      <protection hidden="1"/>
    </xf>
    <xf numFmtId="0" fontId="0" fillId="0" borderId="0" xfId="0" applyFill="1" applyBorder="1" applyAlignment="1" applyProtection="1">
      <alignment horizontal="left" vertical="top" indent="1"/>
      <protection hidden="1"/>
    </xf>
    <xf numFmtId="0" fontId="0" fillId="10" borderId="0" xfId="0" applyFont="1" applyFill="1" applyBorder="1" applyAlignment="1" applyProtection="1">
      <alignment horizontal="left" vertical="top" wrapText="1"/>
      <protection hidden="1"/>
    </xf>
    <xf numFmtId="0" fontId="6" fillId="10" borderId="0" xfId="0" applyFont="1" applyFill="1" applyBorder="1" applyAlignment="1" applyProtection="1">
      <alignment horizontal="left" vertical="top" wrapText="1"/>
      <protection hidden="1"/>
    </xf>
    <xf numFmtId="0" fontId="31" fillId="9" borderId="0" xfId="0" applyFont="1" applyFill="1" applyAlignment="1" applyProtection="1">
      <alignment horizontal="left" vertical="top"/>
      <protection hidden="1"/>
    </xf>
    <xf numFmtId="0" fontId="5" fillId="4" borderId="14" xfId="0" applyFont="1" applyFill="1" applyBorder="1" applyAlignment="1" applyProtection="1">
      <alignment horizontal="left"/>
      <protection hidden="1"/>
    </xf>
    <xf numFmtId="0" fontId="0" fillId="4" borderId="14" xfId="0" applyFont="1" applyFill="1" applyBorder="1" applyAlignment="1" applyProtection="1">
      <alignment horizontal="left" vertical="center"/>
      <protection hidden="1"/>
    </xf>
    <xf numFmtId="0" fontId="0" fillId="4" borderId="14" xfId="0" applyFill="1" applyBorder="1" applyAlignment="1" applyProtection="1">
      <alignment horizontal="left" vertical="top" wrapText="1"/>
      <protection hidden="1"/>
    </xf>
    <xf numFmtId="14" fontId="0" fillId="4" borderId="14" xfId="0" applyNumberFormat="1" applyFill="1" applyBorder="1" applyAlignment="1" applyProtection="1">
      <alignment horizontal="center" vertical="center" wrapText="1"/>
      <protection hidden="1"/>
    </xf>
    <xf numFmtId="11" fontId="0" fillId="4" borderId="14" xfId="0" applyNumberFormat="1" applyFill="1" applyBorder="1" applyAlignment="1" applyProtection="1">
      <alignment horizontal="center" vertical="center"/>
      <protection hidden="1"/>
    </xf>
    <xf numFmtId="0" fontId="0" fillId="4" borderId="2" xfId="0" applyFill="1" applyBorder="1" applyAlignment="1" applyProtection="1">
      <alignment horizontal="left" vertical="top" wrapText="1"/>
      <protection hidden="1"/>
    </xf>
    <xf numFmtId="0" fontId="0" fillId="4" borderId="5" xfId="0" applyFill="1" applyBorder="1" applyAlignment="1" applyProtection="1">
      <alignment horizontal="center" vertical="center"/>
      <protection hidden="1"/>
    </xf>
    <xf numFmtId="0" fontId="6" fillId="0" borderId="0" xfId="0" applyFont="1" applyFill="1" applyBorder="1" applyAlignment="1" applyProtection="1">
      <alignment vertical="top" wrapText="1"/>
      <protection hidden="1"/>
    </xf>
    <xf numFmtId="0" fontId="0" fillId="0" borderId="0" xfId="0" applyFill="1" applyBorder="1" applyAlignment="1" applyProtection="1">
      <alignment vertical="center" wrapText="1"/>
      <protection hidden="1"/>
    </xf>
    <xf numFmtId="0" fontId="0" fillId="4" borderId="1" xfId="0" applyFill="1" applyBorder="1" applyAlignment="1" applyProtection="1">
      <alignment horizontal="center" vertical="center"/>
      <protection hidden="1"/>
    </xf>
    <xf numFmtId="0" fontId="4" fillId="4" borderId="17" xfId="2" applyFill="1" applyBorder="1" applyAlignment="1" applyProtection="1">
      <alignment horizontal="center" vertical="center" wrapText="1"/>
      <protection hidden="1"/>
    </xf>
    <xf numFmtId="14" fontId="0" fillId="0" borderId="0" xfId="0" applyNumberFormat="1" applyFill="1" applyBorder="1" applyAlignment="1" applyProtection="1">
      <alignment vertical="center" wrapText="1"/>
      <protection hidden="1"/>
    </xf>
    <xf numFmtId="2" fontId="0" fillId="4" borderId="13" xfId="0" applyNumberFormat="1" applyFill="1" applyBorder="1" applyAlignment="1" applyProtection="1">
      <alignment horizontal="left" vertical="center" wrapText="1"/>
      <protection hidden="1"/>
    </xf>
    <xf numFmtId="2" fontId="0" fillId="0" borderId="0" xfId="0" applyNumberFormat="1" applyFill="1" applyBorder="1" applyAlignment="1" applyProtection="1">
      <alignment horizontal="left" vertical="top" wrapText="1"/>
      <protection hidden="1"/>
    </xf>
    <xf numFmtId="0" fontId="35" fillId="10" borderId="0" xfId="0" applyFont="1" applyFill="1" applyBorder="1" applyAlignment="1" applyProtection="1">
      <alignment horizontal="left" vertical="top"/>
      <protection hidden="1"/>
    </xf>
    <xf numFmtId="0" fontId="36" fillId="10" borderId="0" xfId="0" applyFont="1" applyFill="1" applyBorder="1" applyAlignment="1" applyProtection="1">
      <alignment vertical="top" wrapText="1"/>
      <protection hidden="1"/>
    </xf>
    <xf numFmtId="0" fontId="36" fillId="10" borderId="0" xfId="0" applyFont="1" applyFill="1" applyBorder="1" applyAlignment="1" applyProtection="1">
      <alignment horizontal="left" vertical="top" wrapText="1"/>
      <protection hidden="1"/>
    </xf>
    <xf numFmtId="0" fontId="7" fillId="9" borderId="29" xfId="0" applyFont="1" applyFill="1" applyBorder="1" applyProtection="1"/>
    <xf numFmtId="0" fontId="0" fillId="9" borderId="30" xfId="0" applyFill="1" applyBorder="1" applyAlignment="1" applyProtection="1">
      <alignment horizontal="left" vertical="top" wrapText="1"/>
    </xf>
    <xf numFmtId="0" fontId="1" fillId="10" borderId="31" xfId="0" applyFont="1" applyFill="1" applyBorder="1" applyAlignment="1" applyProtection="1">
      <alignment vertical="top" wrapText="1"/>
      <protection hidden="1"/>
    </xf>
    <xf numFmtId="9" fontId="0" fillId="6" borderId="2" xfId="1" applyFont="1" applyFill="1" applyBorder="1" applyAlignment="1" applyProtection="1">
      <alignment horizontal="left" vertical="top" wrapText="1"/>
      <protection locked="0"/>
    </xf>
    <xf numFmtId="0" fontId="0" fillId="6" borderId="1" xfId="0" applyFill="1" applyBorder="1" applyAlignment="1" applyProtection="1">
      <alignment horizontal="left" vertical="top" wrapText="1"/>
      <protection locked="0" hidden="1"/>
    </xf>
    <xf numFmtId="0" fontId="0" fillId="6" borderId="1" xfId="0" applyFill="1" applyBorder="1" applyAlignment="1" applyProtection="1">
      <alignment horizontal="center" vertical="center" wrapText="1"/>
      <protection locked="0" hidden="1"/>
    </xf>
    <xf numFmtId="49" fontId="2" fillId="0" borderId="1" xfId="7" applyNumberFormat="1" applyFont="1" applyFill="1" applyBorder="1" applyAlignment="1">
      <alignment horizontal="center" vertical="center"/>
    </xf>
    <xf numFmtId="10" fontId="1" fillId="10" borderId="9" xfId="1" applyNumberFormat="1" applyFont="1" applyFill="1" applyBorder="1" applyAlignment="1" applyProtection="1">
      <alignment horizontal="left" vertical="top" wrapText="1"/>
      <protection hidden="1"/>
    </xf>
    <xf numFmtId="0" fontId="24" fillId="0" borderId="0" xfId="13" applyFont="1"/>
    <xf numFmtId="0" fontId="25" fillId="0" borderId="0" xfId="13" applyFont="1" applyAlignment="1" applyProtection="1">
      <alignment horizontal="left" vertical="center"/>
      <protection hidden="1"/>
    </xf>
    <xf numFmtId="0" fontId="25" fillId="0" borderId="0" xfId="13" applyFont="1" applyAlignment="1" applyProtection="1">
      <alignment horizontal="left" vertical="center" wrapText="1"/>
      <protection hidden="1"/>
    </xf>
    <xf numFmtId="0" fontId="1" fillId="10" borderId="0" xfId="13" applyFont="1" applyFill="1" applyAlignment="1" applyProtection="1">
      <alignment horizontal="center"/>
      <protection hidden="1"/>
    </xf>
    <xf numFmtId="0" fontId="2" fillId="0" borderId="0" xfId="13" applyFont="1" applyAlignment="1">
      <alignment horizontal="center"/>
    </xf>
    <xf numFmtId="0" fontId="2" fillId="0" borderId="0" xfId="13" applyFont="1"/>
    <xf numFmtId="0" fontId="1" fillId="10" borderId="0" xfId="13" applyFont="1" applyFill="1" applyProtection="1">
      <protection hidden="1"/>
    </xf>
    <xf numFmtId="0" fontId="1" fillId="10" borderId="0" xfId="13" applyFont="1" applyFill="1"/>
    <xf numFmtId="49" fontId="2" fillId="0" borderId="1" xfId="13" applyNumberFormat="1" applyFont="1" applyBorder="1" applyAlignment="1">
      <alignment horizontal="center" vertical="center"/>
    </xf>
    <xf numFmtId="14" fontId="2" fillId="0" borderId="1" xfId="13" applyNumberFormat="1" applyFont="1" applyBorder="1" applyAlignment="1">
      <alignment horizontal="center" vertical="center"/>
    </xf>
    <xf numFmtId="0" fontId="2" fillId="0" borderId="1" xfId="13" applyFont="1" applyBorder="1" applyAlignment="1">
      <alignment horizontal="center" vertical="center"/>
    </xf>
    <xf numFmtId="2" fontId="2" fillId="0" borderId="1" xfId="13" applyNumberFormat="1" applyFont="1" applyBorder="1" applyAlignment="1">
      <alignment horizontal="center" vertical="center"/>
    </xf>
    <xf numFmtId="0" fontId="0" fillId="2" borderId="1" xfId="0" applyFill="1" applyBorder="1" applyAlignment="1">
      <alignment horizontal="center" vertical="center"/>
    </xf>
    <xf numFmtId="0" fontId="6" fillId="8" borderId="0" xfId="0" applyFont="1" applyFill="1" applyBorder="1" applyAlignment="1">
      <alignment horizontal="left" vertical="top"/>
    </xf>
    <xf numFmtId="0" fontId="6" fillId="8" borderId="0" xfId="0" applyFont="1" applyFill="1" applyAlignment="1"/>
    <xf numFmtId="0" fontId="0" fillId="14" borderId="1" xfId="0" applyFill="1" applyBorder="1"/>
    <xf numFmtId="1" fontId="0" fillId="0" borderId="0" xfId="0" applyNumberFormat="1" applyFill="1" applyBorder="1"/>
    <xf numFmtId="0" fontId="27" fillId="16" borderId="0" xfId="4" applyFont="1" applyFill="1" applyBorder="1" applyAlignment="1" applyProtection="1">
      <alignment vertical="center"/>
      <protection hidden="1"/>
    </xf>
    <xf numFmtId="0" fontId="24" fillId="16" borderId="0" xfId="13" applyFont="1" applyFill="1"/>
    <xf numFmtId="0" fontId="27" fillId="10" borderId="0" xfId="4" applyFont="1" applyFill="1" applyBorder="1" applyAlignment="1" applyProtection="1">
      <alignment horizontal="left" vertical="center"/>
      <protection hidden="1"/>
    </xf>
    <xf numFmtId="0" fontId="2" fillId="0" borderId="1" xfId="13" quotePrefix="1" applyFont="1" applyBorder="1" applyAlignment="1">
      <alignment horizontal="center" vertical="center"/>
    </xf>
    <xf numFmtId="0" fontId="0" fillId="6" borderId="1" xfId="0" applyFill="1" applyBorder="1" applyAlignment="1" applyProtection="1">
      <alignment horizontal="left" vertical="top" wrapText="1"/>
      <protection locked="0" hidden="1"/>
    </xf>
    <xf numFmtId="0" fontId="6" fillId="8" borderId="1" xfId="0" applyFont="1" applyFill="1" applyBorder="1" applyAlignment="1">
      <alignment horizontal="center"/>
    </xf>
    <xf numFmtId="0" fontId="6" fillId="8" borderId="1" xfId="0" applyFont="1" applyFill="1" applyBorder="1" applyAlignment="1">
      <alignment horizontal="left"/>
    </xf>
    <xf numFmtId="0" fontId="54" fillId="0" borderId="0" xfId="0" applyFont="1" applyFill="1" applyAlignment="1" applyProtection="1">
      <alignment horizontal="left" vertical="top" wrapText="1"/>
    </xf>
    <xf numFmtId="0" fontId="0" fillId="0" borderId="0" xfId="0" applyAlignment="1" applyProtection="1">
      <alignment horizontal="right" vertical="top" wrapText="1"/>
    </xf>
    <xf numFmtId="0" fontId="7" fillId="9" borderId="29" xfId="0" applyFont="1" applyFill="1" applyBorder="1" applyAlignment="1" applyProtection="1">
      <alignment horizontal="left" vertical="top" wrapText="1"/>
    </xf>
    <xf numFmtId="0" fontId="7" fillId="9" borderId="30" xfId="0" applyFont="1" applyFill="1" applyBorder="1" applyAlignment="1" applyProtection="1">
      <alignment horizontal="left" vertical="top" wrapText="1"/>
    </xf>
    <xf numFmtId="0" fontId="0" fillId="6" borderId="1" xfId="0" applyFill="1" applyBorder="1" applyAlignment="1" applyProtection="1">
      <alignment horizontal="left" vertical="top" wrapText="1"/>
      <protection locked="0" hidden="1"/>
    </xf>
    <xf numFmtId="0" fontId="0" fillId="6" borderId="1" xfId="0" applyFill="1" applyBorder="1" applyAlignment="1" applyProtection="1">
      <alignment horizontal="left" vertical="center" wrapText="1"/>
      <protection locked="0" hidden="1"/>
    </xf>
    <xf numFmtId="0" fontId="1" fillId="10" borderId="7" xfId="0" applyFont="1" applyFill="1" applyBorder="1" applyAlignment="1" applyProtection="1">
      <alignment horizontal="left" vertical="top" wrapText="1"/>
      <protection hidden="1"/>
    </xf>
    <xf numFmtId="0" fontId="1" fillId="10" borderId="8" xfId="0" applyFont="1" applyFill="1" applyBorder="1" applyAlignment="1" applyProtection="1">
      <alignment horizontal="left" vertical="top" wrapText="1"/>
      <protection hidden="1"/>
    </xf>
    <xf numFmtId="0" fontId="1" fillId="10" borderId="4" xfId="0" applyFont="1" applyFill="1" applyBorder="1" applyAlignment="1" applyProtection="1">
      <alignment horizontal="left" vertical="top" wrapText="1"/>
      <protection hidden="1"/>
    </xf>
    <xf numFmtId="0" fontId="1" fillId="10" borderId="3" xfId="0" applyFont="1" applyFill="1" applyBorder="1" applyAlignment="1" applyProtection="1">
      <alignment horizontal="left" vertical="top" wrapText="1"/>
      <protection hidden="1"/>
    </xf>
    <xf numFmtId="0" fontId="0" fillId="4" borderId="12" xfId="0" applyFill="1" applyBorder="1" applyAlignment="1" applyProtection="1">
      <alignment horizontal="left" vertical="center" wrapText="1"/>
      <protection hidden="1"/>
    </xf>
    <xf numFmtId="0" fontId="0" fillId="4" borderId="18" xfId="0" applyFill="1" applyBorder="1" applyAlignment="1" applyProtection="1">
      <alignment horizontal="left" vertical="center" wrapText="1"/>
      <protection hidden="1"/>
    </xf>
    <xf numFmtId="0" fontId="0" fillId="4" borderId="13" xfId="0" applyFill="1" applyBorder="1" applyAlignment="1" applyProtection="1">
      <alignment horizontal="left" vertical="center" wrapText="1"/>
      <protection hidden="1"/>
    </xf>
    <xf numFmtId="1" fontId="37" fillId="4" borderId="0" xfId="0" applyNumberFormat="1" applyFont="1" applyFill="1" applyBorder="1" applyAlignment="1" applyProtection="1">
      <alignment horizontal="left" vertical="center" wrapText="1"/>
      <protection hidden="1"/>
    </xf>
    <xf numFmtId="0" fontId="28" fillId="0" borderId="19" xfId="0" applyFont="1" applyBorder="1" applyAlignment="1" applyProtection="1">
      <alignment horizontal="left" vertical="top" wrapText="1"/>
      <protection hidden="1"/>
    </xf>
    <xf numFmtId="10" fontId="1" fillId="10" borderId="6" xfId="1" applyNumberFormat="1" applyFont="1" applyFill="1" applyBorder="1" applyAlignment="1" applyProtection="1">
      <alignment horizontal="left" vertical="top" wrapText="1"/>
      <protection hidden="1"/>
    </xf>
    <xf numFmtId="10" fontId="1" fillId="10" borderId="7" xfId="1" applyNumberFormat="1" applyFont="1" applyFill="1" applyBorder="1" applyAlignment="1" applyProtection="1">
      <alignment horizontal="left" vertical="top" wrapText="1"/>
      <protection hidden="1"/>
    </xf>
    <xf numFmtId="10" fontId="1" fillId="10" borderId="8" xfId="1" applyNumberFormat="1" applyFont="1" applyFill="1" applyBorder="1" applyAlignment="1" applyProtection="1">
      <alignment horizontal="left" vertical="top" wrapText="1"/>
      <protection hidden="1"/>
    </xf>
    <xf numFmtId="0" fontId="0" fillId="4" borderId="12" xfId="0" applyFill="1" applyBorder="1" applyAlignment="1" applyProtection="1">
      <alignment horizontal="left" vertical="top"/>
      <protection hidden="1"/>
    </xf>
    <xf numFmtId="0" fontId="0" fillId="4" borderId="18" xfId="0" applyFill="1" applyBorder="1" applyAlignment="1" applyProtection="1">
      <alignment horizontal="left" vertical="top"/>
      <protection hidden="1"/>
    </xf>
    <xf numFmtId="0" fontId="0" fillId="4" borderId="13" xfId="0" applyFill="1" applyBorder="1" applyAlignment="1" applyProtection="1">
      <alignment horizontal="left" vertical="top"/>
      <protection hidden="1"/>
    </xf>
    <xf numFmtId="0" fontId="0" fillId="6" borderId="1" xfId="0" applyFill="1" applyBorder="1" applyAlignment="1" applyProtection="1">
      <alignment horizontal="left" vertical="top"/>
      <protection locked="0" hidden="1"/>
    </xf>
    <xf numFmtId="0" fontId="0" fillId="6" borderId="12" xfId="0" applyFill="1" applyBorder="1" applyAlignment="1" applyProtection="1">
      <alignment horizontal="left" vertical="top"/>
      <protection locked="0" hidden="1"/>
    </xf>
    <xf numFmtId="0" fontId="0" fillId="6" borderId="18" xfId="0" applyFill="1" applyBorder="1" applyAlignment="1" applyProtection="1">
      <alignment horizontal="left" vertical="top"/>
      <protection locked="0" hidden="1"/>
    </xf>
    <xf numFmtId="0" fontId="0" fillId="6" borderId="13" xfId="0" applyFill="1" applyBorder="1" applyAlignment="1" applyProtection="1">
      <alignment horizontal="left" vertical="top"/>
      <protection locked="0" hidden="1"/>
    </xf>
    <xf numFmtId="14" fontId="0" fillId="6" borderId="1" xfId="0" applyNumberFormat="1" applyFill="1" applyBorder="1" applyAlignment="1" applyProtection="1">
      <alignment horizontal="left" vertical="center"/>
      <protection locked="0" hidden="1"/>
    </xf>
    <xf numFmtId="0" fontId="1" fillId="10" borderId="15" xfId="0" applyFont="1" applyFill="1" applyBorder="1" applyAlignment="1" applyProtection="1">
      <alignment horizontal="left" vertical="top" wrapText="1"/>
      <protection hidden="1"/>
    </xf>
    <xf numFmtId="164" fontId="6" fillId="4" borderId="0" xfId="0" applyNumberFormat="1" applyFont="1" applyFill="1" applyBorder="1" applyAlignment="1" applyProtection="1">
      <alignment horizontal="left" vertical="center" wrapText="1"/>
      <protection hidden="1"/>
    </xf>
    <xf numFmtId="10" fontId="1" fillId="10" borderId="9" xfId="1" applyNumberFormat="1" applyFont="1" applyFill="1" applyBorder="1" applyAlignment="1" applyProtection="1">
      <alignment horizontal="left" vertical="top" wrapText="1"/>
      <protection hidden="1"/>
    </xf>
    <xf numFmtId="10" fontId="1" fillId="10" borderId="4" xfId="1" applyNumberFormat="1" applyFont="1" applyFill="1" applyBorder="1" applyAlignment="1" applyProtection="1">
      <alignment horizontal="left" vertical="top" wrapText="1"/>
      <protection hidden="1"/>
    </xf>
    <xf numFmtId="0" fontId="1" fillId="10" borderId="9" xfId="0" applyFont="1" applyFill="1" applyBorder="1" applyAlignment="1" applyProtection="1">
      <alignment horizontal="left" vertical="top" wrapText="1"/>
      <protection hidden="1"/>
    </xf>
    <xf numFmtId="0" fontId="19" fillId="10" borderId="0" xfId="0" applyFont="1" applyFill="1" applyBorder="1" applyAlignment="1" applyProtection="1">
      <alignment horizontal="left" vertical="top" wrapText="1"/>
      <protection hidden="1"/>
    </xf>
    <xf numFmtId="0" fontId="0" fillId="4" borderId="23" xfId="0" applyFill="1" applyBorder="1" applyAlignment="1" applyProtection="1">
      <alignment horizontal="left" vertical="center" wrapText="1"/>
      <protection hidden="1"/>
    </xf>
    <xf numFmtId="0" fontId="0" fillId="4" borderId="22" xfId="0" applyFill="1" applyBorder="1" applyAlignment="1" applyProtection="1">
      <alignment horizontal="left" vertical="center" wrapText="1"/>
      <protection hidden="1"/>
    </xf>
    <xf numFmtId="0" fontId="0" fillId="4" borderId="24" xfId="0" applyFill="1" applyBorder="1" applyAlignment="1" applyProtection="1">
      <alignment horizontal="left" vertical="center" wrapText="1"/>
      <protection hidden="1"/>
    </xf>
    <xf numFmtId="2" fontId="6" fillId="4" borderId="17" xfId="0" applyNumberFormat="1" applyFont="1" applyFill="1" applyBorder="1" applyAlignment="1" applyProtection="1">
      <alignment horizontal="left" vertical="center" wrapText="1"/>
      <protection hidden="1"/>
    </xf>
    <xf numFmtId="2" fontId="6" fillId="4" borderId="10" xfId="0" applyNumberFormat="1" applyFont="1" applyFill="1" applyBorder="1" applyAlignment="1" applyProtection="1">
      <alignment horizontal="left" vertical="center" wrapText="1"/>
      <protection hidden="1"/>
    </xf>
    <xf numFmtId="2" fontId="6" fillId="4" borderId="16" xfId="0" applyNumberFormat="1" applyFont="1" applyFill="1" applyBorder="1" applyAlignment="1" applyProtection="1">
      <alignment horizontal="left" vertical="center" wrapText="1"/>
      <protection hidden="1"/>
    </xf>
    <xf numFmtId="0" fontId="27" fillId="10" borderId="0" xfId="4" applyFont="1" applyFill="1" applyBorder="1" applyAlignment="1" applyProtection="1">
      <alignment horizontal="left" vertical="center"/>
      <protection hidden="1"/>
    </xf>
    <xf numFmtId="2" fontId="0" fillId="4" borderId="1" xfId="0" applyNumberFormat="1" applyFill="1" applyBorder="1" applyAlignment="1" applyProtection="1">
      <alignment horizontal="left" vertical="top" wrapText="1"/>
      <protection hidden="1"/>
    </xf>
    <xf numFmtId="0" fontId="0" fillId="4" borderId="2" xfId="0" applyFill="1" applyBorder="1" applyAlignment="1" applyProtection="1">
      <alignment horizontal="left" vertical="top"/>
      <protection hidden="1"/>
    </xf>
    <xf numFmtId="165" fontId="0" fillId="4" borderId="1" xfId="1" applyNumberFormat="1" applyFont="1" applyFill="1" applyBorder="1" applyAlignment="1" applyProtection="1">
      <alignment horizontal="left" vertical="top" wrapText="1"/>
      <protection hidden="1"/>
    </xf>
    <xf numFmtId="2" fontId="6" fillId="4" borderId="5" xfId="0" applyNumberFormat="1" applyFont="1" applyFill="1" applyBorder="1" applyAlignment="1" applyProtection="1">
      <alignment horizontal="left" vertical="top" wrapText="1"/>
      <protection hidden="1"/>
    </xf>
    <xf numFmtId="9" fontId="0" fillId="6" borderId="1" xfId="0" applyNumberFormat="1" applyFill="1" applyBorder="1" applyAlignment="1" applyProtection="1">
      <alignment horizontal="left" vertical="top"/>
      <protection locked="0" hidden="1"/>
    </xf>
    <xf numFmtId="10" fontId="0" fillId="6" borderId="12" xfId="0" applyNumberFormat="1" applyFill="1" applyBorder="1" applyAlignment="1" applyProtection="1">
      <alignment horizontal="left" vertical="top"/>
      <protection locked="0" hidden="1"/>
    </xf>
    <xf numFmtId="0" fontId="0" fillId="4" borderId="1" xfId="0" applyFill="1" applyBorder="1" applyAlignment="1" applyProtection="1">
      <alignment horizontal="left" vertical="top"/>
      <protection hidden="1"/>
    </xf>
    <xf numFmtId="1" fontId="37" fillId="0" borderId="1" xfId="0" applyNumberFormat="1" applyFont="1" applyFill="1" applyBorder="1" applyAlignment="1" applyProtection="1">
      <alignment horizontal="left" vertical="center" wrapText="1"/>
      <protection hidden="1"/>
    </xf>
    <xf numFmtId="0" fontId="0" fillId="4" borderId="17" xfId="0" applyFill="1" applyBorder="1" applyAlignment="1" applyProtection="1">
      <alignment horizontal="left" vertical="top"/>
      <protection hidden="1"/>
    </xf>
    <xf numFmtId="0" fontId="0" fillId="4" borderId="10" xfId="0" applyFill="1" applyBorder="1" applyAlignment="1" applyProtection="1">
      <alignment horizontal="left" vertical="top"/>
      <protection hidden="1"/>
    </xf>
    <xf numFmtId="0" fontId="0" fillId="4" borderId="16" xfId="0" applyFill="1" applyBorder="1" applyAlignment="1" applyProtection="1">
      <alignment horizontal="left" vertical="top"/>
      <protection hidden="1"/>
    </xf>
    <xf numFmtId="0" fontId="0" fillId="4" borderId="1" xfId="0" applyFill="1" applyBorder="1" applyAlignment="1" applyProtection="1">
      <alignment horizontal="left" vertical="top" wrapText="1"/>
      <protection hidden="1"/>
    </xf>
    <xf numFmtId="2" fontId="6" fillId="4" borderId="1" xfId="0" applyNumberFormat="1" applyFont="1" applyFill="1" applyBorder="1" applyAlignment="1" applyProtection="1">
      <alignment horizontal="left" vertical="center" wrapText="1"/>
      <protection hidden="1"/>
    </xf>
    <xf numFmtId="0" fontId="0" fillId="4" borderId="1" xfId="0" applyFill="1" applyBorder="1" applyAlignment="1" applyProtection="1">
      <alignment horizontal="left" vertical="center" wrapText="1"/>
      <protection hidden="1"/>
    </xf>
    <xf numFmtId="0" fontId="6" fillId="0" borderId="0" xfId="0" applyFont="1" applyFill="1" applyBorder="1" applyAlignment="1" applyProtection="1">
      <alignment horizontal="left" vertical="top" wrapText="1"/>
      <protection hidden="1"/>
    </xf>
    <xf numFmtId="0" fontId="0" fillId="0" borderId="0" xfId="0" applyFill="1" applyBorder="1" applyAlignment="1" applyProtection="1">
      <alignment horizontal="center" vertical="center" wrapText="1"/>
      <protection hidden="1"/>
    </xf>
    <xf numFmtId="0" fontId="19" fillId="12" borderId="0" xfId="0" applyFont="1" applyFill="1" applyBorder="1" applyAlignment="1" applyProtection="1">
      <alignment horizontal="left" vertical="top" wrapText="1"/>
    </xf>
    <xf numFmtId="0" fontId="7" fillId="8" borderId="0" xfId="0" applyFont="1" applyFill="1" applyBorder="1" applyAlignment="1" applyProtection="1">
      <alignment horizontal="center" vertical="top" wrapText="1"/>
    </xf>
    <xf numFmtId="0" fontId="6" fillId="0" borderId="0" xfId="0" applyFont="1" applyAlignment="1">
      <alignment horizontal="left" vertical="top" wrapText="1"/>
    </xf>
    <xf numFmtId="0" fontId="18" fillId="10" borderId="1" xfId="0" applyFont="1" applyFill="1" applyBorder="1" applyAlignment="1">
      <alignment horizontal="left" vertical="top" wrapText="1"/>
    </xf>
    <xf numFmtId="0" fontId="2" fillId="0" borderId="1" xfId="7" quotePrefix="1" applyFont="1" applyFill="1" applyBorder="1" applyAlignment="1">
      <alignment horizontal="left" vertical="top" wrapText="1"/>
    </xf>
    <xf numFmtId="0" fontId="2" fillId="0" borderId="1" xfId="7" applyFont="1" applyFill="1" applyBorder="1" applyAlignment="1">
      <alignment horizontal="left" vertical="top" wrapText="1"/>
    </xf>
    <xf numFmtId="0" fontId="2" fillId="0" borderId="1" xfId="13" quotePrefix="1" applyFont="1" applyBorder="1" applyAlignment="1">
      <alignment horizontal="left" vertical="top" wrapText="1"/>
    </xf>
    <xf numFmtId="0" fontId="2" fillId="0" borderId="1" xfId="13" applyFont="1" applyBorder="1" applyAlignment="1">
      <alignment horizontal="left" vertical="top" wrapText="1"/>
    </xf>
    <xf numFmtId="0" fontId="2" fillId="0" borderId="12" xfId="13" applyFont="1" applyBorder="1" applyAlignment="1">
      <alignment horizontal="left" vertical="top" wrapText="1"/>
    </xf>
    <xf numFmtId="0" fontId="2" fillId="0" borderId="18" xfId="13" applyFont="1" applyBorder="1" applyAlignment="1">
      <alignment horizontal="left" vertical="top" wrapText="1"/>
    </xf>
    <xf numFmtId="0" fontId="2" fillId="0" borderId="13" xfId="13" applyFont="1" applyBorder="1" applyAlignment="1">
      <alignment horizontal="left" vertical="top" wrapText="1"/>
    </xf>
    <xf numFmtId="0" fontId="2" fillId="0" borderId="1" xfId="13" applyFont="1" applyBorder="1" applyAlignment="1">
      <alignment horizontal="left" vertical="top"/>
    </xf>
    <xf numFmtId="9" fontId="0" fillId="6" borderId="1" xfId="0" quotePrefix="1" applyNumberFormat="1" applyFill="1" applyBorder="1" applyAlignment="1" applyProtection="1">
      <alignment horizontal="left" vertical="top" wrapText="1"/>
      <protection locked="0" hidden="1"/>
    </xf>
  </cellXfs>
  <cellStyles count="14">
    <cellStyle name="Comma" xfId="3" builtinId="3"/>
    <cellStyle name="Hyperlink" xfId="2" builtinId="8"/>
    <cellStyle name="Hyperlink 2" xfId="5" xr:uid="{00000000-0005-0000-0000-000002000000}"/>
    <cellStyle name="Normal" xfId="0" builtinId="0"/>
    <cellStyle name="Normal 2" xfId="6" xr:uid="{00000000-0005-0000-0000-000004000000}"/>
    <cellStyle name="Normal 2 2" xfId="7" xr:uid="{00000000-0005-0000-0000-000005000000}"/>
    <cellStyle name="Normal 2 2 2" xfId="13" xr:uid="{709B6B51-B483-4DD3-904E-454811EE4E30}"/>
    <cellStyle name="Normal 3" xfId="8" xr:uid="{00000000-0005-0000-0000-000006000000}"/>
    <cellStyle name="Normal 4" xfId="4" xr:uid="{00000000-0005-0000-0000-000007000000}"/>
    <cellStyle name="Percent" xfId="1" builtinId="5"/>
    <cellStyle name="Percent 2" xfId="10" xr:uid="{00000000-0005-0000-0000-000009000000}"/>
    <cellStyle name="Percent 3" xfId="11" xr:uid="{00000000-0005-0000-0000-00000A000000}"/>
    <cellStyle name="Percent 4" xfId="12" xr:uid="{00000000-0005-0000-0000-00000B000000}"/>
    <cellStyle name="Percent 5" xfId="9" xr:uid="{00000000-0005-0000-0000-00000C000000}"/>
  </cellStyles>
  <dxfs count="14">
    <dxf>
      <numFmt numFmtId="0" formatCode="General"/>
      <fill>
        <patternFill patternType="solid">
          <fgColor indexed="64"/>
          <bgColor theme="0" tint="-0.249977111117893"/>
        </patternFill>
      </fill>
      <alignment horizontal="center" vertical="top" textRotation="0" wrapText="1" indent="0" justifyLastLine="0" shrinkToFit="0" readingOrder="0"/>
      <protection locked="1" hidden="0"/>
    </dxf>
    <dxf>
      <fill>
        <patternFill patternType="none">
          <fgColor indexed="64"/>
          <bgColor auto="1"/>
        </patternFill>
      </fill>
      <alignment horizontal="left" vertical="top" textRotation="0" wrapText="1" indent="0" justifyLastLine="0" shrinkToFit="0" readingOrder="0"/>
      <protection locked="0" hidden="0"/>
    </dxf>
    <dxf>
      <fill>
        <patternFill patternType="none">
          <fgColor indexed="64"/>
          <bgColor indexed="65"/>
        </patternFill>
      </fill>
      <alignment horizontal="left" vertical="top" textRotation="0" wrapText="1" indent="0" justifyLastLine="0" shrinkToFit="0" readingOrder="0"/>
      <protection locked="0" hidden="0"/>
    </dxf>
    <dxf>
      <fill>
        <patternFill patternType="none">
          <fgColor indexed="64"/>
          <bgColor auto="1"/>
        </patternFill>
      </fill>
      <alignment horizontal="left" vertical="top" textRotation="0" wrapText="1" indent="0" justifyLastLine="0" shrinkToFit="0" readingOrder="0"/>
      <protection locked="0" hidden="0"/>
    </dxf>
    <dxf>
      <font>
        <strike val="0"/>
        <outline val="0"/>
        <shadow val="0"/>
        <u val="none"/>
        <vertAlign val="baseline"/>
        <sz val="11"/>
        <color auto="1"/>
        <name val="Calibri"/>
        <scheme val="minor"/>
      </font>
      <fill>
        <patternFill patternType="none">
          <fgColor indexed="64"/>
          <bgColor auto="1"/>
        </patternFill>
      </fill>
      <alignment horizontal="left" vertical="top" textRotation="0" wrapText="1" indent="0" justifyLastLine="0" shrinkToFit="0" readingOrder="0"/>
      <protection locked="0" hidden="0"/>
    </dxf>
    <dxf>
      <fill>
        <patternFill patternType="none">
          <fgColor indexed="64"/>
          <bgColor indexed="65"/>
        </patternFill>
      </fill>
      <alignment horizontal="left" vertical="top" textRotation="0" wrapText="1" indent="0" justifyLastLine="0" shrinkToFit="0" readingOrder="0"/>
      <protection locked="0" hidden="0"/>
    </dxf>
    <dxf>
      <fill>
        <patternFill patternType="none">
          <fgColor indexed="64"/>
          <bgColor indexed="65"/>
        </patternFill>
      </fill>
      <alignment horizontal="left" vertical="top" textRotation="0" wrapText="1" indent="0" justifyLastLine="0" shrinkToFit="0" readingOrder="0"/>
      <protection locked="0" hidden="0"/>
    </dxf>
    <dxf>
      <fill>
        <patternFill patternType="none">
          <fgColor indexed="64"/>
          <bgColor auto="1"/>
        </patternFill>
      </fill>
      <alignment horizontal="left" vertical="top" textRotation="0" wrapText="1" indent="0" justifyLastLine="0" shrinkToFit="0" readingOrder="0"/>
      <protection locked="0" hidden="0"/>
    </dxf>
    <dxf>
      <protection locked="1" hidden="0"/>
    </dxf>
    <dxf>
      <fill>
        <patternFill patternType="solid">
          <fgColor indexed="64"/>
          <bgColor rgb="FF3D6864"/>
        </patternFill>
      </fill>
      <alignment horizontal="left" vertical="top" textRotation="0" wrapText="1" indent="0" justifyLastLine="0" shrinkToFit="0" readingOrder="0"/>
      <border diagonalUp="0" diagonalDown="0">
        <left style="thin">
          <color theme="0" tint="-0.499984740745262"/>
        </left>
        <right style="thin">
          <color theme="0" tint="-0.499984740745262"/>
        </right>
        <top/>
        <bottom/>
      </border>
      <protection locked="1"/>
    </dxf>
    <dxf>
      <font>
        <color theme="0" tint="-0.14996795556505021"/>
      </font>
      <fill>
        <patternFill>
          <bgColor theme="0" tint="-0.14996795556505021"/>
        </patternFill>
      </fill>
    </dxf>
    <dxf>
      <fill>
        <patternFill>
          <bgColor rgb="FFFF0000"/>
        </patternFill>
      </fill>
    </dxf>
    <dxf>
      <font>
        <color theme="0" tint="-0.14996795556505021"/>
      </font>
      <fill>
        <patternFill>
          <bgColor theme="0" tint="-0.14996795556505021"/>
        </patternFill>
      </fill>
    </dxf>
    <dxf>
      <fill>
        <patternFill>
          <bgColor rgb="FFFF0000"/>
        </patternFill>
      </fill>
    </dxf>
  </dxfs>
  <tableStyles count="0" defaultTableStyle="TableStyleMedium2" defaultPivotStyle="PivotStyleLight16"/>
  <colors>
    <mruColors>
      <color rgb="FF3D6864"/>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9" Type="http://schemas.openxmlformats.org/officeDocument/2006/relationships/customXml" Target="../customXml/item16.xml"/><Relationship Id="rId3" Type="http://schemas.openxmlformats.org/officeDocument/2006/relationships/worksheet" Target="worksheets/sheet3.xml"/><Relationship Id="rId21" Type="http://schemas.openxmlformats.org/officeDocument/2006/relationships/sharedStrings" Target="sharedStrings.xml"/><Relationship Id="rId34" Type="http://schemas.openxmlformats.org/officeDocument/2006/relationships/customXml" Target="../customXml/item11.xml"/><Relationship Id="rId42" Type="http://schemas.openxmlformats.org/officeDocument/2006/relationships/customXml" Target="../customXml/item1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33" Type="http://schemas.openxmlformats.org/officeDocument/2006/relationships/customXml" Target="../customXml/item10.xml"/><Relationship Id="rId38" Type="http://schemas.openxmlformats.org/officeDocument/2006/relationships/customXml" Target="../customXml/item1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29" Type="http://schemas.openxmlformats.org/officeDocument/2006/relationships/customXml" Target="../customXml/item6.xml"/><Relationship Id="rId41"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32" Type="http://schemas.openxmlformats.org/officeDocument/2006/relationships/customXml" Target="../customXml/item9.xml"/><Relationship Id="rId37" Type="http://schemas.openxmlformats.org/officeDocument/2006/relationships/customXml" Target="../customXml/item14.xml"/><Relationship Id="rId40"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28" Type="http://schemas.openxmlformats.org/officeDocument/2006/relationships/customXml" Target="../customXml/item5.xml"/><Relationship Id="rId36" Type="http://schemas.openxmlformats.org/officeDocument/2006/relationships/customXml" Target="../customXml/item13.xml"/><Relationship Id="rId10" Type="http://schemas.openxmlformats.org/officeDocument/2006/relationships/worksheet" Target="worksheets/sheet10.xml"/><Relationship Id="rId19" Type="http://schemas.openxmlformats.org/officeDocument/2006/relationships/connections" Target="connections.xml"/><Relationship Id="rId31"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owerPivotData" Target="model/item.data"/><Relationship Id="rId27" Type="http://schemas.openxmlformats.org/officeDocument/2006/relationships/customXml" Target="../customXml/item4.xml"/><Relationship Id="rId30" Type="http://schemas.openxmlformats.org/officeDocument/2006/relationships/customXml" Target="../customXml/item7.xml"/><Relationship Id="rId35" Type="http://schemas.openxmlformats.org/officeDocument/2006/relationships/customXml" Target="../customXml/item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2028825</xdr:colOff>
      <xdr:row>1</xdr:row>
      <xdr:rowOff>0</xdr:rowOff>
    </xdr:from>
    <xdr:to>
      <xdr:col>6</xdr:col>
      <xdr:colOff>7694</xdr:colOff>
      <xdr:row>2</xdr:row>
      <xdr:rowOff>13966</xdr:rowOff>
    </xdr:to>
    <xdr:pic>
      <xdr:nvPicPr>
        <xdr:cNvPr id="3" name="Picture 2">
          <a:extLst>
            <a:ext uri="{FF2B5EF4-FFF2-40B4-BE49-F238E27FC236}">
              <a16:creationId xmlns:a16="http://schemas.microsoft.com/office/drawing/2014/main" id="{72714F79-A035-4A11-9645-D49A9889B4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53775" y="180975"/>
          <a:ext cx="2512770" cy="823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6</xdr:col>
      <xdr:colOff>409273</xdr:colOff>
      <xdr:row>1</xdr:row>
      <xdr:rowOff>715646</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54540" y="266700"/>
          <a:ext cx="2238073" cy="715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23952</xdr:colOff>
      <xdr:row>1</xdr:row>
      <xdr:rowOff>10884</xdr:rowOff>
    </xdr:from>
    <xdr:to>
      <xdr:col>17</xdr:col>
      <xdr:colOff>423634</xdr:colOff>
      <xdr:row>1</xdr:row>
      <xdr:rowOff>730884</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30892" y="186144"/>
          <a:ext cx="1649362"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23952</xdr:colOff>
      <xdr:row>1</xdr:row>
      <xdr:rowOff>10884</xdr:rowOff>
    </xdr:from>
    <xdr:to>
      <xdr:col>17</xdr:col>
      <xdr:colOff>423634</xdr:colOff>
      <xdr:row>1</xdr:row>
      <xdr:rowOff>730884</xdr:rowOff>
    </xdr:to>
    <xdr:pic>
      <xdr:nvPicPr>
        <xdr:cNvPr id="2" name="Picture 1">
          <a:extLst>
            <a:ext uri="{FF2B5EF4-FFF2-40B4-BE49-F238E27FC236}">
              <a16:creationId xmlns:a16="http://schemas.microsoft.com/office/drawing/2014/main" id="{CD4696C6-99F4-4D6A-BFE8-E778665576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30892" y="186144"/>
          <a:ext cx="1649362"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40852</xdr:colOff>
      <xdr:row>0</xdr:row>
      <xdr:rowOff>152400</xdr:rowOff>
    </xdr:from>
    <xdr:to>
      <xdr:col>14</xdr:col>
      <xdr:colOff>4535</xdr:colOff>
      <xdr:row>2</xdr:row>
      <xdr:rowOff>6984</xdr:rowOff>
    </xdr:to>
    <xdr:pic>
      <xdr:nvPicPr>
        <xdr:cNvPr id="2" name="Picture 1">
          <a:extLst>
            <a:ext uri="{FF2B5EF4-FFF2-40B4-BE49-F238E27FC236}">
              <a16:creationId xmlns:a16="http://schemas.microsoft.com/office/drawing/2014/main" id="{6963C3A8-9C52-41F1-BE2C-DCBEBAAF56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98902" y="152400"/>
          <a:ext cx="1840108" cy="74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695326</xdr:colOff>
      <xdr:row>1</xdr:row>
      <xdr:rowOff>0</xdr:rowOff>
    </xdr:from>
    <xdr:to>
      <xdr:col>14</xdr:col>
      <xdr:colOff>4536</xdr:colOff>
      <xdr:row>2</xdr:row>
      <xdr:rowOff>16509</xdr:rowOff>
    </xdr:to>
    <xdr:pic>
      <xdr:nvPicPr>
        <xdr:cNvPr id="2" name="Picture 1">
          <a:extLst>
            <a:ext uri="{FF2B5EF4-FFF2-40B4-BE49-F238E27FC236}">
              <a16:creationId xmlns:a16="http://schemas.microsoft.com/office/drawing/2014/main" id="{FD33210D-329C-4410-9C00-E5DB20431D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00901" y="161925"/>
          <a:ext cx="1938110" cy="74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1299428</xdr:colOff>
      <xdr:row>0</xdr:row>
      <xdr:rowOff>260712</xdr:rowOff>
    </xdr:from>
    <xdr:to>
      <xdr:col>16</xdr:col>
      <xdr:colOff>3245</xdr:colOff>
      <xdr:row>2</xdr:row>
      <xdr:rowOff>49893</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32499" y="260712"/>
          <a:ext cx="2309710" cy="782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1393873</xdr:colOff>
      <xdr:row>1</xdr:row>
      <xdr:rowOff>2176</xdr:rowOff>
    </xdr:from>
    <xdr:to>
      <xdr:col>16</xdr:col>
      <xdr:colOff>3245</xdr:colOff>
      <xdr:row>2</xdr:row>
      <xdr:rowOff>31750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20998" y="272051"/>
          <a:ext cx="2212997" cy="74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1202317</xdr:colOff>
      <xdr:row>1</xdr:row>
      <xdr:rowOff>0</xdr:rowOff>
    </xdr:from>
    <xdr:to>
      <xdr:col>8</xdr:col>
      <xdr:colOff>1142698</xdr:colOff>
      <xdr:row>2</xdr:row>
      <xdr:rowOff>68035</xdr:rowOff>
    </xdr:to>
    <xdr:pic>
      <xdr:nvPicPr>
        <xdr:cNvPr id="4" name="Pictur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57353" y="571500"/>
          <a:ext cx="2321631" cy="789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18</xdr:col>
      <xdr:colOff>408228</xdr:colOff>
      <xdr:row>8</xdr:row>
      <xdr:rowOff>91617</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09600" y="180109"/>
          <a:ext cx="10771428" cy="1352381"/>
        </a:xfrm>
        <a:prstGeom prst="rect">
          <a:avLst/>
        </a:prstGeom>
      </xdr:spPr>
    </xdr:pic>
    <xdr:clientData/>
  </xdr:twoCellAnchor>
  <xdr:twoCellAnchor editAs="oneCell">
    <xdr:from>
      <xdr:col>1</xdr:col>
      <xdr:colOff>0</xdr:colOff>
      <xdr:row>17</xdr:row>
      <xdr:rowOff>38101</xdr:rowOff>
    </xdr:from>
    <xdr:to>
      <xdr:col>14</xdr:col>
      <xdr:colOff>152400</xdr:colOff>
      <xdr:row>94</xdr:row>
      <xdr:rowOff>29134</xdr:rowOff>
    </xdr:to>
    <xdr:pic>
      <xdr:nvPicPr>
        <xdr:cNvPr id="6" name="Picture 5">
          <a:extLst>
            <a:ext uri="{FF2B5EF4-FFF2-40B4-BE49-F238E27FC236}">
              <a16:creationId xmlns:a16="http://schemas.microsoft.com/office/drawing/2014/main" id="{0431634B-56DF-4E03-A035-C54F638FC459}"/>
            </a:ext>
          </a:extLst>
        </xdr:cNvPr>
        <xdr:cNvPicPr>
          <a:picLocks noChangeAspect="1"/>
        </xdr:cNvPicPr>
      </xdr:nvPicPr>
      <xdr:blipFill rotWithShape="1">
        <a:blip xmlns:r="http://schemas.openxmlformats.org/officeDocument/2006/relationships" r:embed="rId2"/>
        <a:srcRect t="4420" r="25469"/>
        <a:stretch/>
      </xdr:blipFill>
      <xdr:spPr>
        <a:xfrm>
          <a:off x="609600" y="3147061"/>
          <a:ext cx="8077200" cy="14072793"/>
        </a:xfrm>
        <a:prstGeom prst="rect">
          <a:avLst/>
        </a:prstGeom>
      </xdr:spPr>
    </xdr:pic>
    <xdr:clientData/>
  </xdr:twoCellAnchor>
  <xdr:twoCellAnchor editAs="oneCell">
    <xdr:from>
      <xdr:col>15</xdr:col>
      <xdr:colOff>13915</xdr:colOff>
      <xdr:row>17</xdr:row>
      <xdr:rowOff>0</xdr:rowOff>
    </xdr:from>
    <xdr:to>
      <xdr:col>28</xdr:col>
      <xdr:colOff>107784</xdr:colOff>
      <xdr:row>94</xdr:row>
      <xdr:rowOff>153073</xdr:rowOff>
    </xdr:to>
    <xdr:pic>
      <xdr:nvPicPr>
        <xdr:cNvPr id="7" name="Picture 6">
          <a:extLst>
            <a:ext uri="{FF2B5EF4-FFF2-40B4-BE49-F238E27FC236}">
              <a16:creationId xmlns:a16="http://schemas.microsoft.com/office/drawing/2014/main" id="{E708CB70-9ECD-466E-AB25-1163748E4627}"/>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26806"/>
        <a:stretch/>
      </xdr:blipFill>
      <xdr:spPr>
        <a:xfrm>
          <a:off x="9157915" y="3108960"/>
          <a:ext cx="8018669" cy="14234833"/>
        </a:xfrm>
        <a:prstGeom prst="rect">
          <a:avLst/>
        </a:prstGeom>
      </xdr:spPr>
    </xdr:pic>
    <xdr:clientData/>
  </xdr:twoCellAnchor>
  <xdr:twoCellAnchor editAs="oneCell">
    <xdr:from>
      <xdr:col>1</xdr:col>
      <xdr:colOff>1</xdr:colOff>
      <xdr:row>103</xdr:row>
      <xdr:rowOff>76200</xdr:rowOff>
    </xdr:from>
    <xdr:to>
      <xdr:col>14</xdr:col>
      <xdr:colOff>91441</xdr:colOff>
      <xdr:row>179</xdr:row>
      <xdr:rowOff>124219</xdr:rowOff>
    </xdr:to>
    <xdr:pic>
      <xdr:nvPicPr>
        <xdr:cNvPr id="8" name="Picture 7">
          <a:extLst>
            <a:ext uri="{FF2B5EF4-FFF2-40B4-BE49-F238E27FC236}">
              <a16:creationId xmlns:a16="http://schemas.microsoft.com/office/drawing/2014/main" id="{472211A5-0757-4F50-806A-C431B1AE49B9}"/>
            </a:ext>
          </a:extLst>
        </xdr:cNvPr>
        <xdr:cNvPicPr>
          <a:picLocks noChangeAspect="1"/>
        </xdr:cNvPicPr>
      </xdr:nvPicPr>
      <xdr:blipFill rotWithShape="1">
        <a:blip xmlns:r="http://schemas.openxmlformats.org/officeDocument/2006/relationships" r:embed="rId4"/>
        <a:srcRect t="3163" r="25639"/>
        <a:stretch/>
      </xdr:blipFill>
      <xdr:spPr>
        <a:xfrm>
          <a:off x="609601" y="18912840"/>
          <a:ext cx="8016240" cy="139468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115459</xdr:colOff>
      <xdr:row>1</xdr:row>
      <xdr:rowOff>0</xdr:rowOff>
    </xdr:from>
    <xdr:to>
      <xdr:col>40</xdr:col>
      <xdr:colOff>13607</xdr:colOff>
      <xdr:row>2</xdr:row>
      <xdr:rowOff>40822</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78066" y="272143"/>
          <a:ext cx="2265791"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180111</xdr:colOff>
      <xdr:row>16</xdr:row>
      <xdr:rowOff>138546</xdr:rowOff>
    </xdr:from>
    <xdr:to>
      <xdr:col>5</xdr:col>
      <xdr:colOff>1066802</xdr:colOff>
      <xdr:row>19</xdr:row>
      <xdr:rowOff>1</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360220" y="6802582"/>
          <a:ext cx="7800109" cy="401783"/>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solidFill>
                <a:srgbClr val="FF0000"/>
              </a:solidFill>
            </a:rPr>
            <a:t>NOTE: Other</a:t>
          </a:r>
          <a:r>
            <a:rPr lang="en-GB" sz="1600" baseline="0">
              <a:solidFill>
                <a:srgbClr val="FF0000"/>
              </a:solidFill>
            </a:rPr>
            <a:t> building LCA tools will be added as they become recognised by BREEAM.</a:t>
          </a:r>
          <a:endParaRPr lang="en-GB" sz="1600">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16180</xdr:colOff>
      <xdr:row>0</xdr:row>
      <xdr:rowOff>272142</xdr:rowOff>
    </xdr:from>
    <xdr:to>
      <xdr:col>7</xdr:col>
      <xdr:colOff>1062</xdr:colOff>
      <xdr:row>2</xdr:row>
      <xdr:rowOff>54428</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44001" y="272142"/>
          <a:ext cx="2325311" cy="775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108858</xdr:colOff>
      <xdr:row>1</xdr:row>
      <xdr:rowOff>0</xdr:rowOff>
    </xdr:from>
    <xdr:to>
      <xdr:col>7</xdr:col>
      <xdr:colOff>1062</xdr:colOff>
      <xdr:row>2</xdr:row>
      <xdr:rowOff>23516</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36679" y="272143"/>
          <a:ext cx="2232633" cy="744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59950</xdr:colOff>
      <xdr:row>1</xdr:row>
      <xdr:rowOff>0</xdr:rowOff>
    </xdr:from>
    <xdr:to>
      <xdr:col>6</xdr:col>
      <xdr:colOff>572559</xdr:colOff>
      <xdr:row>2</xdr:row>
      <xdr:rowOff>35290</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23200" y="272143"/>
          <a:ext cx="2267930" cy="756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0000000}" name="EPDListTable" displayName="EPDListTable" ref="B28:I229" totalsRowShown="0" headerRowDxfId="9" dataDxfId="8">
  <autoFilter ref="B28:I229" xr:uid="{00000000-0009-0000-0100-000022000000}"/>
  <tableColumns count="8">
    <tableColumn id="1" xr3:uid="{00000000-0010-0000-0000-000001000000}" name="Product ID" dataDxfId="7"/>
    <tableColumn id="6" xr3:uid="{00000000-0010-0000-0000-000006000000}" name="Product name / description" dataDxfId="6"/>
    <tableColumn id="3" xr3:uid="{00000000-0010-0000-0000-000003000000}" name="Product type (generic)" dataDxfId="5"/>
    <tableColumn id="2" xr3:uid="{00000000-0010-0000-0000-000002000000}" name="Product classification" dataDxfId="4"/>
    <tableColumn id="4" xr3:uid="{00000000-0010-0000-0000-000004000000}" name="EPD type (see manual)" dataDxfId="3"/>
    <tableColumn id="8" xr3:uid="{00000000-0010-0000-0000-000008000000}" name="Compliant with the validity requirements (see manual)" dataDxfId="2"/>
    <tableColumn id="5" xr3:uid="{00000000-0010-0000-0000-000005000000}" name="EPD evidence (e.g. URL/link to certificate)" dataDxfId="1"/>
    <tableColumn id="7" xr3:uid="{00000000-0010-0000-0000-000007000000}" name="EPD Points" dataDxfId="0">
      <calculatedColumnFormula>IFERROR(IF(AND(EPDListTable[[#This Row],[Product ID]]&lt;&gt;"",EPDListTable[[#This Row],[Product name / description]]&lt;&gt;"",EPDListTable[[#This Row],[Product type (generic)]]&lt;&gt;"",EPDListTable[[#This Row],[Product classification]]&lt;&gt;"",G29="yes",EPDListTable[[#This Row],[EPD evidence (e.g. URL/link to certificate)]]&lt;&gt;""),VLOOKUP(EPDListTable[[#This Row],[EPD type (see manual)]],EPDPoints,2,FALSE),""),"")</calculatedColumnFormula>
    </tableColumn>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Mat01_CD_BdServ_Opt1.xlsx" TargetMode="External"/><Relationship Id="rId13" Type="http://schemas.openxmlformats.org/officeDocument/2006/relationships/hyperlink" Target="Mat01_CD_SubS_HL_Opt6.xlsx" TargetMode="External"/><Relationship Id="rId18" Type="http://schemas.openxmlformats.org/officeDocument/2006/relationships/comments" Target="../comments1.xml"/><Relationship Id="rId3" Type="http://schemas.openxmlformats.org/officeDocument/2006/relationships/hyperlink" Target="Mat01_CD_SuperS_Opt3.xlsx" TargetMode="External"/><Relationship Id="rId7" Type="http://schemas.openxmlformats.org/officeDocument/2006/relationships/hyperlink" Target="Mat01_CD_SubS_HL_Opt3.xlsx" TargetMode="External"/><Relationship Id="rId12" Type="http://schemas.openxmlformats.org/officeDocument/2006/relationships/hyperlink" Target="Mat01_CD_SubS_HL_Opt5.xlsx" TargetMode="External"/><Relationship Id="rId17" Type="http://schemas.openxmlformats.org/officeDocument/2006/relationships/vmlDrawing" Target="../drawings/vmlDrawing1.vml"/><Relationship Id="rId2" Type="http://schemas.openxmlformats.org/officeDocument/2006/relationships/hyperlink" Target="Mat01_CD_SuperS_Opt2.xlsx" TargetMode="External"/><Relationship Id="rId16" Type="http://schemas.openxmlformats.org/officeDocument/2006/relationships/drawing" Target="../drawings/drawing2.xml"/><Relationship Id="rId1" Type="http://schemas.openxmlformats.org/officeDocument/2006/relationships/hyperlink" Target="Mat01_CD_SuperS_Opt1.xlsx" TargetMode="External"/><Relationship Id="rId6" Type="http://schemas.openxmlformats.org/officeDocument/2006/relationships/hyperlink" Target="Mat01_CD_SubS_HL_Opt2.xlsx" TargetMode="External"/><Relationship Id="rId11" Type="http://schemas.openxmlformats.org/officeDocument/2006/relationships/hyperlink" Target="Mat01_CD_SubS_HL_Opt4.xlsx" TargetMode="External"/><Relationship Id="rId5" Type="http://schemas.openxmlformats.org/officeDocument/2006/relationships/hyperlink" Target="Mat01_CD_SubS_HL_Opt1.xlsx" TargetMode="External"/><Relationship Id="rId15" Type="http://schemas.openxmlformats.org/officeDocument/2006/relationships/printerSettings" Target="../printerSettings/printerSettings5.bin"/><Relationship Id="rId10" Type="http://schemas.openxmlformats.org/officeDocument/2006/relationships/hyperlink" Target="Mat01_CD_BdServ_Opt3.xlsx" TargetMode="External"/><Relationship Id="rId4" Type="http://schemas.openxmlformats.org/officeDocument/2006/relationships/hyperlink" Target="Mat01_CD_SuperS_Opt4.xlsx" TargetMode="External"/><Relationship Id="rId9" Type="http://schemas.openxmlformats.org/officeDocument/2006/relationships/hyperlink" Target="Mat01_CD_BdServ_Opt2.xlsx" TargetMode="External"/><Relationship Id="rId14" Type="http://schemas.openxmlformats.org/officeDocument/2006/relationships/hyperlink" Target="Mat01_CD_SuperS_B.xlsx"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t01_DD_SuperS_Opt2.xlsx" TargetMode="External"/><Relationship Id="rId2" Type="http://schemas.openxmlformats.org/officeDocument/2006/relationships/hyperlink" Target="Mat01_DD_SuperS_Opt3.xlsx" TargetMode="External"/><Relationship Id="rId1" Type="http://schemas.openxmlformats.org/officeDocument/2006/relationships/hyperlink" Target="Mat01_DD_SuperS_Opt1.xlsx" TargetMode="External"/><Relationship Id="rId6" Type="http://schemas.openxmlformats.org/officeDocument/2006/relationships/drawing" Target="../drawings/drawing3.xml"/><Relationship Id="rId5" Type="http://schemas.openxmlformats.org/officeDocument/2006/relationships/printerSettings" Target="../printerSettings/printerSettings6.bin"/><Relationship Id="rId4" Type="http://schemas.openxmlformats.org/officeDocument/2006/relationships/hyperlink" Target="Mat01_DD_SuperS_B.xlsx"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0000"/>
  </sheetPr>
  <dimension ref="B2:F31"/>
  <sheetViews>
    <sheetView zoomScale="55" zoomScaleNormal="55" workbookViewId="0">
      <selection activeCell="B20" sqref="B20"/>
    </sheetView>
  </sheetViews>
  <sheetFormatPr defaultRowHeight="15" x14ac:dyDescent="0.25"/>
  <cols>
    <col min="2" max="2" width="11.42578125" bestFit="1" customWidth="1"/>
    <col min="3" max="3" width="44.5703125" bestFit="1" customWidth="1"/>
    <col min="4" max="4" width="32.7109375" bestFit="1" customWidth="1"/>
  </cols>
  <sheetData>
    <row r="2" spans="2:6" x14ac:dyDescent="0.25">
      <c r="B2" s="77"/>
      <c r="C2" s="9" t="s">
        <v>216</v>
      </c>
      <c r="E2" s="32"/>
      <c r="F2" s="32"/>
    </row>
    <row r="3" spans="2:6" x14ac:dyDescent="0.25">
      <c r="B3" s="10"/>
      <c r="C3" s="74" t="s">
        <v>203</v>
      </c>
    </row>
    <row r="4" spans="2:6" x14ac:dyDescent="0.25">
      <c r="B4" s="10"/>
      <c r="C4" s="74" t="s">
        <v>204</v>
      </c>
    </row>
    <row r="5" spans="2:6" x14ac:dyDescent="0.25">
      <c r="B5" s="10"/>
      <c r="C5" s="74" t="s">
        <v>205</v>
      </c>
    </row>
    <row r="6" spans="2:6" x14ac:dyDescent="0.25">
      <c r="B6" s="10"/>
      <c r="C6" s="74" t="s">
        <v>206</v>
      </c>
    </row>
    <row r="7" spans="2:6" x14ac:dyDescent="0.25">
      <c r="B7" s="10"/>
      <c r="C7" s="74" t="s">
        <v>207</v>
      </c>
    </row>
    <row r="8" spans="2:6" x14ac:dyDescent="0.25">
      <c r="B8" s="10"/>
      <c r="C8" s="74" t="s">
        <v>208</v>
      </c>
    </row>
    <row r="9" spans="2:6" x14ac:dyDescent="0.25">
      <c r="B9" s="10"/>
      <c r="C9" s="74" t="s">
        <v>209</v>
      </c>
    </row>
    <row r="10" spans="2:6" x14ac:dyDescent="0.25">
      <c r="B10" s="75"/>
      <c r="C10" s="74" t="s">
        <v>210</v>
      </c>
    </row>
    <row r="11" spans="2:6" x14ac:dyDescent="0.25">
      <c r="B11" s="75"/>
      <c r="C11" s="74" t="s">
        <v>211</v>
      </c>
    </row>
    <row r="12" spans="2:6" x14ac:dyDescent="0.25">
      <c r="B12" s="76"/>
      <c r="C12" s="74" t="s">
        <v>212</v>
      </c>
    </row>
    <row r="13" spans="2:6" x14ac:dyDescent="0.25">
      <c r="B13" s="10"/>
      <c r="C13" s="74" t="s">
        <v>213</v>
      </c>
    </row>
    <row r="14" spans="2:6" x14ac:dyDescent="0.25">
      <c r="B14" s="10"/>
      <c r="C14" s="74" t="s">
        <v>214</v>
      </c>
    </row>
    <row r="15" spans="2:6" x14ac:dyDescent="0.25">
      <c r="B15" s="10"/>
      <c r="C15" s="74" t="s">
        <v>215</v>
      </c>
    </row>
    <row r="19" spans="2:3" x14ac:dyDescent="0.25">
      <c r="B19" s="9" t="s">
        <v>135</v>
      </c>
      <c r="C19" s="62"/>
    </row>
    <row r="20" spans="2:3" x14ac:dyDescent="0.25">
      <c r="B20" s="66" t="s">
        <v>136</v>
      </c>
      <c r="C20" s="72" t="s">
        <v>137</v>
      </c>
    </row>
    <row r="21" spans="2:3" x14ac:dyDescent="0.25">
      <c r="B21" s="66" t="s">
        <v>138</v>
      </c>
      <c r="C21" s="73" t="s">
        <v>139</v>
      </c>
    </row>
    <row r="22" spans="2:3" x14ac:dyDescent="0.25">
      <c r="B22" s="66" t="s">
        <v>140</v>
      </c>
      <c r="C22" s="72" t="s">
        <v>141</v>
      </c>
    </row>
    <row r="23" spans="2:3" x14ac:dyDescent="0.25">
      <c r="B23" s="66" t="s">
        <v>142</v>
      </c>
      <c r="C23" s="72" t="s">
        <v>143</v>
      </c>
    </row>
    <row r="24" spans="2:3" x14ac:dyDescent="0.25">
      <c r="B24" s="66" t="s">
        <v>144</v>
      </c>
      <c r="C24" s="72" t="s">
        <v>143</v>
      </c>
    </row>
    <row r="25" spans="2:3" x14ac:dyDescent="0.25">
      <c r="B25" s="66" t="s">
        <v>145</v>
      </c>
      <c r="C25" s="73" t="s">
        <v>146</v>
      </c>
    </row>
    <row r="26" spans="2:3" x14ac:dyDescent="0.25">
      <c r="B26" s="66" t="s">
        <v>147</v>
      </c>
      <c r="C26" s="73" t="s">
        <v>148</v>
      </c>
    </row>
    <row r="27" spans="2:3" x14ac:dyDescent="0.25">
      <c r="B27" s="66" t="s">
        <v>149</v>
      </c>
      <c r="C27" s="73" t="s">
        <v>150</v>
      </c>
    </row>
    <row r="28" spans="2:3" x14ac:dyDescent="0.25">
      <c r="B28" s="66" t="s">
        <v>151</v>
      </c>
      <c r="C28" s="72" t="s">
        <v>152</v>
      </c>
    </row>
    <row r="29" spans="2:3" x14ac:dyDescent="0.25">
      <c r="B29" s="66" t="s">
        <v>153</v>
      </c>
      <c r="C29" s="72" t="s">
        <v>152</v>
      </c>
    </row>
    <row r="30" spans="2:3" x14ac:dyDescent="0.25">
      <c r="B30" s="66" t="s">
        <v>154</v>
      </c>
      <c r="C30" s="73" t="s">
        <v>155</v>
      </c>
    </row>
    <row r="31" spans="2:3" x14ac:dyDescent="0.25">
      <c r="B31" s="66" t="s">
        <v>156</v>
      </c>
      <c r="C31" s="73" t="s">
        <v>157</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Q80"/>
  <sheetViews>
    <sheetView showGridLines="0" zoomScale="70" zoomScaleNormal="70" workbookViewId="0">
      <selection activeCell="B10" sqref="B10"/>
    </sheetView>
  </sheetViews>
  <sheetFormatPr defaultColWidth="0" defaultRowHeight="15" zeroHeight="1" x14ac:dyDescent="0.25"/>
  <cols>
    <col min="1" max="1" width="3.28515625" customWidth="1"/>
    <col min="2" max="2" width="40.7109375" customWidth="1"/>
    <col min="3" max="3" width="110.7109375" customWidth="1"/>
    <col min="4" max="8" width="8.85546875" customWidth="1"/>
    <col min="9" max="17" width="0" hidden="1" customWidth="1"/>
    <col min="18" max="16384" width="8.85546875" hidden="1"/>
  </cols>
  <sheetData>
    <row r="1" spans="1:17" s="2" customFormat="1" ht="21" x14ac:dyDescent="0.25">
      <c r="A1" s="51"/>
      <c r="Q1" s="5"/>
    </row>
    <row r="2" spans="1:17" s="25" customFormat="1" ht="56.45" customHeight="1" x14ac:dyDescent="0.25">
      <c r="A2" s="51"/>
      <c r="B2" s="38" t="str">
        <f>MAT01_ConceptDesign!B2</f>
        <v>BREEAM UK NC (2018) Mat 01/02 Results Submission Tool</v>
      </c>
      <c r="C2" s="38"/>
      <c r="D2" s="38"/>
      <c r="E2" s="54"/>
      <c r="F2" s="54"/>
      <c r="G2" s="54"/>
      <c r="H2" s="54"/>
      <c r="I2" s="55"/>
      <c r="J2" s="55"/>
      <c r="K2" s="55"/>
      <c r="L2" s="55"/>
      <c r="M2" s="55"/>
      <c r="N2" s="55"/>
      <c r="O2" s="55"/>
      <c r="Q2" s="26"/>
    </row>
    <row r="3" spans="1:17" s="2" customFormat="1" ht="21" x14ac:dyDescent="0.25">
      <c r="A3" s="51"/>
      <c r="B3" s="31" t="s">
        <v>170</v>
      </c>
      <c r="Q3" s="5"/>
    </row>
    <row r="4" spans="1:17" s="2" customFormat="1" ht="21" x14ac:dyDescent="0.35">
      <c r="A4" s="51"/>
      <c r="B4" s="49"/>
      <c r="C4" s="50"/>
      <c r="Q4" s="5"/>
    </row>
    <row r="5" spans="1:17" s="2" customFormat="1" ht="21" x14ac:dyDescent="0.25">
      <c r="A5" s="51"/>
      <c r="Q5" s="5"/>
    </row>
    <row r="6" spans="1:17" ht="31.9" customHeight="1" x14ac:dyDescent="0.25">
      <c r="B6" s="37" t="s">
        <v>122</v>
      </c>
      <c r="C6" s="38"/>
      <c r="D6" s="38"/>
      <c r="E6" s="38"/>
      <c r="F6" s="38"/>
      <c r="G6" s="38"/>
      <c r="H6" s="54"/>
      <c r="I6" s="54"/>
    </row>
    <row r="7" spans="1:17" x14ac:dyDescent="0.25"/>
    <row r="8" spans="1:17" ht="15.75" thickBot="1" x14ac:dyDescent="0.3">
      <c r="B8" s="56" t="s">
        <v>117</v>
      </c>
      <c r="C8" s="120" t="s">
        <v>120</v>
      </c>
    </row>
    <row r="9" spans="1:17" x14ac:dyDescent="0.25">
      <c r="B9" s="123" t="str">
        <f>Classification!$C$3</f>
        <v>2.1 Frame</v>
      </c>
      <c r="C9" s="132"/>
    </row>
    <row r="10" spans="1:17" x14ac:dyDescent="0.25">
      <c r="B10" s="119" t="s">
        <v>10</v>
      </c>
      <c r="C10" s="119"/>
    </row>
    <row r="11" spans="1:17" x14ac:dyDescent="0.25">
      <c r="B11" s="119" t="s">
        <v>12</v>
      </c>
      <c r="C11" s="119"/>
    </row>
    <row r="12" spans="1:17" x14ac:dyDescent="0.25">
      <c r="B12" s="126" t="str">
        <f>Classification!$C$4</f>
        <v>2.2 Upper floors</v>
      </c>
      <c r="C12" s="132"/>
    </row>
    <row r="13" spans="1:17" x14ac:dyDescent="0.25">
      <c r="B13" s="119" t="s">
        <v>10</v>
      </c>
      <c r="C13" s="119"/>
    </row>
    <row r="14" spans="1:17" x14ac:dyDescent="0.25">
      <c r="B14" s="119" t="s">
        <v>12</v>
      </c>
      <c r="C14" s="119"/>
    </row>
    <row r="15" spans="1:17" x14ac:dyDescent="0.25">
      <c r="B15" s="126" t="str">
        <f>Classification!$C$5</f>
        <v>2.3 Roof</v>
      </c>
      <c r="C15" s="132"/>
    </row>
    <row r="16" spans="1:17" x14ac:dyDescent="0.25">
      <c r="B16" s="119" t="s">
        <v>10</v>
      </c>
      <c r="C16" s="119"/>
    </row>
    <row r="17" spans="2:3" x14ac:dyDescent="0.25">
      <c r="B17" s="119" t="s">
        <v>12</v>
      </c>
      <c r="C17" s="119"/>
    </row>
    <row r="18" spans="2:3" x14ac:dyDescent="0.25">
      <c r="B18" s="126" t="str">
        <f>Classification!$C$6</f>
        <v>2.4 Stairs and ramps</v>
      </c>
      <c r="C18" s="132"/>
    </row>
    <row r="19" spans="2:3" x14ac:dyDescent="0.25">
      <c r="B19" s="119" t="s">
        <v>10</v>
      </c>
      <c r="C19" s="119"/>
    </row>
    <row r="20" spans="2:3" x14ac:dyDescent="0.25">
      <c r="B20" s="119" t="s">
        <v>12</v>
      </c>
      <c r="C20" s="119"/>
    </row>
    <row r="21" spans="2:3" x14ac:dyDescent="0.25">
      <c r="B21" s="126" t="str">
        <f>Classification!$C$7</f>
        <v>2.5 External walls</v>
      </c>
      <c r="C21" s="132"/>
    </row>
    <row r="22" spans="2:3" x14ac:dyDescent="0.25">
      <c r="B22" s="119" t="s">
        <v>10</v>
      </c>
      <c r="C22" s="119"/>
    </row>
    <row r="23" spans="2:3" x14ac:dyDescent="0.25">
      <c r="B23" s="119" t="s">
        <v>12</v>
      </c>
      <c r="C23" s="119"/>
    </row>
    <row r="24" spans="2:3" x14ac:dyDescent="0.25">
      <c r="B24" s="126" t="str">
        <f>Classification!$C$8</f>
        <v>2.6 Windows and external doors</v>
      </c>
      <c r="C24" s="132"/>
    </row>
    <row r="25" spans="2:3" x14ac:dyDescent="0.25">
      <c r="B25" s="119" t="s">
        <v>10</v>
      </c>
      <c r="C25" s="119"/>
    </row>
    <row r="26" spans="2:3" x14ac:dyDescent="0.25">
      <c r="B26" s="119" t="s">
        <v>12</v>
      </c>
      <c r="C26" s="119"/>
    </row>
    <row r="27" spans="2:3" x14ac:dyDescent="0.25">
      <c r="B27" s="126" t="str">
        <f>Classification!$C$9</f>
        <v>2.7 Internal walls and partitions</v>
      </c>
      <c r="C27" s="132"/>
    </row>
    <row r="28" spans="2:3" x14ac:dyDescent="0.25">
      <c r="B28" s="119" t="s">
        <v>10</v>
      </c>
      <c r="C28" s="119"/>
    </row>
    <row r="29" spans="2:3" ht="15.75" thickBot="1" x14ac:dyDescent="0.3">
      <c r="B29" s="127" t="s">
        <v>12</v>
      </c>
      <c r="C29" s="127"/>
    </row>
    <row r="30" spans="2:3" ht="30" x14ac:dyDescent="0.25">
      <c r="B30" s="123" t="s">
        <v>244</v>
      </c>
      <c r="C30" s="121"/>
    </row>
    <row r="31" spans="2:3" x14ac:dyDescent="0.25">
      <c r="C31" s="7"/>
    </row>
    <row r="32" spans="2:3" ht="15.75" thickBot="1" x14ac:dyDescent="0.3">
      <c r="B32" s="56" t="s">
        <v>118</v>
      </c>
      <c r="C32" s="120" t="s">
        <v>120</v>
      </c>
    </row>
    <row r="33" spans="2:3" x14ac:dyDescent="0.25">
      <c r="B33" s="123" t="str">
        <f>Classification!$C$3</f>
        <v>2.1 Frame</v>
      </c>
      <c r="C33" s="132"/>
    </row>
    <row r="34" spans="2:3" x14ac:dyDescent="0.25">
      <c r="B34" s="119" t="s">
        <v>10</v>
      </c>
      <c r="C34" s="119"/>
    </row>
    <row r="35" spans="2:3" x14ac:dyDescent="0.25">
      <c r="B35" s="119" t="s">
        <v>12</v>
      </c>
      <c r="C35" s="119"/>
    </row>
    <row r="36" spans="2:3" x14ac:dyDescent="0.25">
      <c r="B36" s="126" t="str">
        <f>Classification!$C$4</f>
        <v>2.2 Upper floors</v>
      </c>
      <c r="C36" s="132"/>
    </row>
    <row r="37" spans="2:3" x14ac:dyDescent="0.25">
      <c r="B37" s="119" t="s">
        <v>10</v>
      </c>
      <c r="C37" s="119"/>
    </row>
    <row r="38" spans="2:3" x14ac:dyDescent="0.25">
      <c r="B38" s="119" t="s">
        <v>12</v>
      </c>
      <c r="C38" s="119"/>
    </row>
    <row r="39" spans="2:3" x14ac:dyDescent="0.25">
      <c r="B39" s="126" t="str">
        <f>Classification!$C$5</f>
        <v>2.3 Roof</v>
      </c>
      <c r="C39" s="132"/>
    </row>
    <row r="40" spans="2:3" x14ac:dyDescent="0.25">
      <c r="B40" s="119" t="s">
        <v>10</v>
      </c>
      <c r="C40" s="119"/>
    </row>
    <row r="41" spans="2:3" x14ac:dyDescent="0.25">
      <c r="B41" s="119" t="s">
        <v>12</v>
      </c>
      <c r="C41" s="119"/>
    </row>
    <row r="42" spans="2:3" x14ac:dyDescent="0.25">
      <c r="B42" s="126" t="str">
        <f>Classification!$C$6</f>
        <v>2.4 Stairs and ramps</v>
      </c>
      <c r="C42" s="132"/>
    </row>
    <row r="43" spans="2:3" x14ac:dyDescent="0.25">
      <c r="B43" s="119" t="s">
        <v>10</v>
      </c>
      <c r="C43" s="119"/>
    </row>
    <row r="44" spans="2:3" x14ac:dyDescent="0.25">
      <c r="B44" s="119" t="s">
        <v>12</v>
      </c>
      <c r="C44" s="119"/>
    </row>
    <row r="45" spans="2:3" x14ac:dyDescent="0.25">
      <c r="B45" s="126" t="str">
        <f>Classification!$C$7</f>
        <v>2.5 External walls</v>
      </c>
      <c r="C45" s="132"/>
    </row>
    <row r="46" spans="2:3" x14ac:dyDescent="0.25">
      <c r="B46" s="119" t="s">
        <v>10</v>
      </c>
      <c r="C46" s="119"/>
    </row>
    <row r="47" spans="2:3" x14ac:dyDescent="0.25">
      <c r="B47" s="119" t="s">
        <v>12</v>
      </c>
      <c r="C47" s="119"/>
    </row>
    <row r="48" spans="2:3" x14ac:dyDescent="0.25">
      <c r="B48" s="126" t="str">
        <f>Classification!$C$8</f>
        <v>2.6 Windows and external doors</v>
      </c>
      <c r="C48" s="132"/>
    </row>
    <row r="49" spans="2:3" x14ac:dyDescent="0.25">
      <c r="B49" s="119" t="s">
        <v>10</v>
      </c>
      <c r="C49" s="119"/>
    </row>
    <row r="50" spans="2:3" x14ac:dyDescent="0.25">
      <c r="B50" s="119" t="s">
        <v>12</v>
      </c>
      <c r="C50" s="119"/>
    </row>
    <row r="51" spans="2:3" x14ac:dyDescent="0.25">
      <c r="B51" s="126" t="str">
        <f>Classification!$C$9</f>
        <v>2.7 Internal walls and partitions</v>
      </c>
      <c r="C51" s="132"/>
    </row>
    <row r="52" spans="2:3" x14ac:dyDescent="0.25">
      <c r="B52" s="119" t="s">
        <v>10</v>
      </c>
      <c r="C52" s="119"/>
    </row>
    <row r="53" spans="2:3" ht="15.75" thickBot="1" x14ac:dyDescent="0.3">
      <c r="B53" s="127" t="s">
        <v>12</v>
      </c>
      <c r="C53" s="127"/>
    </row>
    <row r="54" spans="2:3" ht="30" x14ac:dyDescent="0.25">
      <c r="B54" s="123" t="s">
        <v>244</v>
      </c>
      <c r="C54" s="121"/>
    </row>
    <row r="55" spans="2:3" x14ac:dyDescent="0.25">
      <c r="C55" s="7"/>
    </row>
    <row r="56" spans="2:3" ht="15.75" thickBot="1" x14ac:dyDescent="0.3">
      <c r="B56" s="56" t="s">
        <v>119</v>
      </c>
      <c r="C56" s="120" t="s">
        <v>120</v>
      </c>
    </row>
    <row r="57" spans="2:3" x14ac:dyDescent="0.25">
      <c r="B57" s="123" t="str">
        <f>Classification!$C$3</f>
        <v>2.1 Frame</v>
      </c>
      <c r="C57" s="132"/>
    </row>
    <row r="58" spans="2:3" x14ac:dyDescent="0.25">
      <c r="B58" s="119" t="s">
        <v>10</v>
      </c>
      <c r="C58" s="119"/>
    </row>
    <row r="59" spans="2:3" x14ac:dyDescent="0.25">
      <c r="B59" s="119" t="s">
        <v>12</v>
      </c>
      <c r="C59" s="119"/>
    </row>
    <row r="60" spans="2:3" x14ac:dyDescent="0.25">
      <c r="B60" s="126" t="str">
        <f>Classification!$C$4</f>
        <v>2.2 Upper floors</v>
      </c>
      <c r="C60" s="132"/>
    </row>
    <row r="61" spans="2:3" x14ac:dyDescent="0.25">
      <c r="B61" s="119" t="s">
        <v>10</v>
      </c>
      <c r="C61" s="119"/>
    </row>
    <row r="62" spans="2:3" x14ac:dyDescent="0.25">
      <c r="B62" s="119" t="s">
        <v>12</v>
      </c>
      <c r="C62" s="119"/>
    </row>
    <row r="63" spans="2:3" x14ac:dyDescent="0.25">
      <c r="B63" s="126" t="str">
        <f>Classification!$C$5</f>
        <v>2.3 Roof</v>
      </c>
      <c r="C63" s="132"/>
    </row>
    <row r="64" spans="2:3" x14ac:dyDescent="0.25">
      <c r="B64" s="119" t="s">
        <v>10</v>
      </c>
      <c r="C64" s="119"/>
    </row>
    <row r="65" spans="2:3" x14ac:dyDescent="0.25">
      <c r="B65" s="119" t="s">
        <v>12</v>
      </c>
      <c r="C65" s="119"/>
    </row>
    <row r="66" spans="2:3" x14ac:dyDescent="0.25">
      <c r="B66" s="126" t="str">
        <f>Classification!$C$6</f>
        <v>2.4 Stairs and ramps</v>
      </c>
      <c r="C66" s="132"/>
    </row>
    <row r="67" spans="2:3" x14ac:dyDescent="0.25">
      <c r="B67" s="119" t="s">
        <v>10</v>
      </c>
      <c r="C67" s="119"/>
    </row>
    <row r="68" spans="2:3" x14ac:dyDescent="0.25">
      <c r="B68" s="119" t="s">
        <v>12</v>
      </c>
      <c r="C68" s="119"/>
    </row>
    <row r="69" spans="2:3" x14ac:dyDescent="0.25">
      <c r="B69" s="126" t="str">
        <f>Classification!$C$7</f>
        <v>2.5 External walls</v>
      </c>
      <c r="C69" s="132"/>
    </row>
    <row r="70" spans="2:3" x14ac:dyDescent="0.25">
      <c r="B70" s="119" t="s">
        <v>10</v>
      </c>
      <c r="C70" s="119"/>
    </row>
    <row r="71" spans="2:3" x14ac:dyDescent="0.25">
      <c r="B71" s="119" t="s">
        <v>12</v>
      </c>
      <c r="C71" s="119"/>
    </row>
    <row r="72" spans="2:3" x14ac:dyDescent="0.25">
      <c r="B72" s="126" t="str">
        <f>Classification!$C$8</f>
        <v>2.6 Windows and external doors</v>
      </c>
      <c r="C72" s="132"/>
    </row>
    <row r="73" spans="2:3" x14ac:dyDescent="0.25">
      <c r="B73" s="119" t="s">
        <v>10</v>
      </c>
      <c r="C73" s="119"/>
    </row>
    <row r="74" spans="2:3" x14ac:dyDescent="0.25">
      <c r="B74" s="119" t="s">
        <v>12</v>
      </c>
      <c r="C74" s="119"/>
    </row>
    <row r="75" spans="2:3" x14ac:dyDescent="0.25">
      <c r="B75" s="126" t="str">
        <f>Classification!$C$9</f>
        <v>2.7 Internal walls and partitions</v>
      </c>
      <c r="C75" s="132"/>
    </row>
    <row r="76" spans="2:3" x14ac:dyDescent="0.25">
      <c r="B76" s="119" t="s">
        <v>10</v>
      </c>
      <c r="C76" s="119"/>
    </row>
    <row r="77" spans="2:3" ht="15.75" thickBot="1" x14ac:dyDescent="0.3">
      <c r="B77" s="127" t="s">
        <v>12</v>
      </c>
      <c r="C77" s="127"/>
    </row>
    <row r="78" spans="2:3" ht="30" x14ac:dyDescent="0.25">
      <c r="B78" s="123" t="s">
        <v>244</v>
      </c>
      <c r="C78" s="121"/>
    </row>
    <row r="79" spans="2:3" x14ac:dyDescent="0.25"/>
    <row r="80" spans="2:3" x14ac:dyDescent="0.25"/>
  </sheetData>
  <sheetProtection algorithmName="SHA-512" hashValue="MA+02rTIbNGygqNZxchqczE6io5D+UbPxnUaactife8xh7d/d7YrNQCudViM0YL87D+CfAOSD2iI/YnGzYIpLQ==" saltValue="R5AfVgtkZ9/t04uc5WUH4A==" spinCount="100000" sheet="1" formatRows="0" insertRows="0"/>
  <hyperlinks>
    <hyperlink ref="B3" location="MAT01_ConceptDesign!A1" display="Return to Concept Design Sheet" xr:uid="{00000000-0004-0000-0500-000000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35"/>
  <sheetViews>
    <sheetView showGridLines="0" zoomScale="70" zoomScaleNormal="70" workbookViewId="0">
      <selection activeCell="B11" sqref="B11"/>
    </sheetView>
  </sheetViews>
  <sheetFormatPr defaultColWidth="0" defaultRowHeight="15" zeroHeight="1" x14ac:dyDescent="0.25"/>
  <cols>
    <col min="1" max="1" width="3.28515625" customWidth="1"/>
    <col min="2" max="2" width="40.7109375" customWidth="1"/>
    <col min="3" max="3" width="110.7109375" customWidth="1"/>
    <col min="4" max="8" width="8.85546875" customWidth="1"/>
    <col min="9" max="17" width="0" hidden="1" customWidth="1"/>
    <col min="18" max="16384" width="8.85546875" hidden="1"/>
  </cols>
  <sheetData>
    <row r="1" spans="1:17" s="2" customFormat="1" ht="21" x14ac:dyDescent="0.25">
      <c r="A1" s="51"/>
      <c r="Q1" s="5"/>
    </row>
    <row r="2" spans="1:17" s="2" customFormat="1" ht="56.45" customHeight="1" x14ac:dyDescent="0.25">
      <c r="A2" s="51"/>
      <c r="B2" s="38" t="str">
        <f>MAT01_ConceptDesign!B2</f>
        <v>BREEAM UK NC (2018) Mat 01/02 Results Submission Tool</v>
      </c>
      <c r="C2" s="38"/>
      <c r="D2" s="38"/>
      <c r="E2" s="54"/>
      <c r="F2" s="54"/>
      <c r="G2" s="54"/>
      <c r="H2" s="54"/>
      <c r="I2" s="54"/>
      <c r="J2" s="54"/>
      <c r="K2" s="54"/>
      <c r="L2" s="54"/>
      <c r="M2" s="54"/>
      <c r="N2" s="54"/>
      <c r="O2" s="54"/>
      <c r="Q2" s="5"/>
    </row>
    <row r="3" spans="1:17" s="2" customFormat="1" ht="21" x14ac:dyDescent="0.25">
      <c r="A3" s="51"/>
      <c r="B3" s="31" t="s">
        <v>170</v>
      </c>
      <c r="Q3" s="5"/>
    </row>
    <row r="4" spans="1:17" s="2" customFormat="1" ht="21" x14ac:dyDescent="0.35">
      <c r="A4" s="51"/>
      <c r="B4" s="49"/>
      <c r="C4" s="50"/>
      <c r="Q4" s="5"/>
    </row>
    <row r="5" spans="1:17" s="2" customFormat="1" ht="21" x14ac:dyDescent="0.25">
      <c r="A5" s="51"/>
      <c r="Q5" s="5"/>
    </row>
    <row r="6" spans="1:17" ht="31.9" customHeight="1" x14ac:dyDescent="0.25">
      <c r="B6" s="37" t="s">
        <v>121</v>
      </c>
      <c r="C6" s="38"/>
      <c r="D6" s="38"/>
      <c r="E6" s="38"/>
      <c r="F6" s="38"/>
      <c r="G6" s="38"/>
      <c r="H6" s="54"/>
      <c r="I6" s="54"/>
    </row>
    <row r="7" spans="1:17" x14ac:dyDescent="0.25"/>
    <row r="8" spans="1:17" ht="15.75" thickBot="1" x14ac:dyDescent="0.3">
      <c r="B8" s="56" t="s">
        <v>125</v>
      </c>
      <c r="C8" s="57" t="str">
        <f>IF(C9="yes - substructure","Description of change compared with ID 5 (one row per change - insert more rows if required)",IF(C9="yes - hard landscaping","Description of change compared with ID 6 (one row per change - insert more rows if required)",""))</f>
        <v>Description of change compared with ID 5 (one row per change - insert more rows if required)</v>
      </c>
    </row>
    <row r="9" spans="1:17" x14ac:dyDescent="0.25">
      <c r="B9" s="59" t="s">
        <v>123</v>
      </c>
      <c r="C9" s="60" t="str">
        <f>MAT01_ConceptDesign!P74</f>
        <v>Yes - Substructure</v>
      </c>
    </row>
    <row r="10" spans="1:17" x14ac:dyDescent="0.25">
      <c r="B10" s="58" t="str">
        <f>IF(C9="yes - Substructure",Classification!$C$10,IF(C9="yes - Hard landscaping",Classification!$C$11,""))</f>
        <v>1.0 Substructure</v>
      </c>
      <c r="C10" s="122"/>
    </row>
    <row r="11" spans="1:17" x14ac:dyDescent="0.25">
      <c r="B11" s="133" t="s">
        <v>10</v>
      </c>
      <c r="C11" s="119"/>
    </row>
    <row r="12" spans="1:17" ht="15.75" thickBot="1" x14ac:dyDescent="0.3">
      <c r="B12" s="127" t="s">
        <v>12</v>
      </c>
      <c r="C12" s="127"/>
    </row>
    <row r="13" spans="1:17" ht="30" x14ac:dyDescent="0.25">
      <c r="B13" s="123" t="s">
        <v>244</v>
      </c>
      <c r="C13" s="121"/>
    </row>
    <row r="14" spans="1:17" x14ac:dyDescent="0.25"/>
    <row r="15" spans="1:17" ht="15.75" thickBot="1" x14ac:dyDescent="0.3">
      <c r="B15" s="56" t="s">
        <v>126</v>
      </c>
      <c r="C15" s="57" t="str">
        <f>IF(C16="yes - substructure","Description of change compared with ID 5 (one row per change - insert more rows if required)",IF(C16="yes - hard landscaping","Description of change compared with ID 6 (one row per change - insert more rows if required)",""))</f>
        <v>Description of change compared with ID 5 (one row per change - insert more rows if required)</v>
      </c>
    </row>
    <row r="16" spans="1:17" x14ac:dyDescent="0.25">
      <c r="B16" s="59" t="s">
        <v>123</v>
      </c>
      <c r="C16" s="60" t="str">
        <f>MAT01_ConceptDesign!P75</f>
        <v>Yes - Substructure</v>
      </c>
    </row>
    <row r="17" spans="2:3" x14ac:dyDescent="0.25">
      <c r="B17" s="58" t="str">
        <f>IF(C16="yes - Substructure",Classification!$C$10,IF(C16="yes - Hard landscaping",Classification!$C$11,""))</f>
        <v>1.0 Substructure</v>
      </c>
      <c r="C17" s="122"/>
    </row>
    <row r="18" spans="2:3" x14ac:dyDescent="0.25">
      <c r="B18" s="133" t="s">
        <v>10</v>
      </c>
      <c r="C18" s="119"/>
    </row>
    <row r="19" spans="2:3" ht="15.75" thickBot="1" x14ac:dyDescent="0.3">
      <c r="B19" s="127" t="s">
        <v>12</v>
      </c>
      <c r="C19" s="127"/>
    </row>
    <row r="20" spans="2:3" ht="30" x14ac:dyDescent="0.25">
      <c r="B20" s="123" t="s">
        <v>244</v>
      </c>
      <c r="C20" s="121"/>
    </row>
    <row r="21" spans="2:3" x14ac:dyDescent="0.25"/>
    <row r="22" spans="2:3" ht="15.75" thickBot="1" x14ac:dyDescent="0.3">
      <c r="B22" s="56" t="s">
        <v>127</v>
      </c>
      <c r="C22" s="57" t="str">
        <f>IF(C23="yes - substructure","Description of change compared with ID 5 (one row per change - insert more rows if required)",IF(C23="yes - hard landscaping","Description of change compared with ID 6 (one row per change - insert more rows if required)",""))</f>
        <v>Description of change compared with ID 6 (one row per change - insert more rows if required)</v>
      </c>
    </row>
    <row r="23" spans="2:3" x14ac:dyDescent="0.25">
      <c r="B23" s="59" t="s">
        <v>123</v>
      </c>
      <c r="C23" s="60" t="str">
        <f>MAT01_ConceptDesign!P76</f>
        <v>Yes - Hard landscaping</v>
      </c>
    </row>
    <row r="24" spans="2:3" x14ac:dyDescent="0.25">
      <c r="B24" s="58" t="str">
        <f>IF(C23="yes - Substructure",Classification!$C$10,IF(C23="yes - Hard landscaping",Classification!$C$11,""))</f>
        <v>8.2 Roads, paths and pavings</v>
      </c>
      <c r="C24" s="122"/>
    </row>
    <row r="25" spans="2:3" x14ac:dyDescent="0.25">
      <c r="B25" s="133" t="s">
        <v>10</v>
      </c>
      <c r="C25" s="119"/>
    </row>
    <row r="26" spans="2:3" ht="15.75" thickBot="1" x14ac:dyDescent="0.3">
      <c r="B26" s="127" t="s">
        <v>12</v>
      </c>
      <c r="C26" s="127"/>
    </row>
    <row r="27" spans="2:3" ht="30" x14ac:dyDescent="0.25">
      <c r="B27" s="123" t="s">
        <v>244</v>
      </c>
      <c r="C27" s="121"/>
    </row>
    <row r="28" spans="2:3" x14ac:dyDescent="0.25"/>
    <row r="29" spans="2:3" ht="15.75" thickBot="1" x14ac:dyDescent="0.3">
      <c r="B29" s="56" t="s">
        <v>128</v>
      </c>
      <c r="C29" s="57" t="str">
        <f>IF(C30="yes - substructure","Description of change compared with ID 5 (one row per change - insert more rows if required)",IF(C30="yes - hard landscaping","Description of change compared with ID 6 (one row per change - insert more rows if required)",""))</f>
        <v>Description of change compared with ID 6 (one row per change - insert more rows if required)</v>
      </c>
    </row>
    <row r="30" spans="2:3" x14ac:dyDescent="0.25">
      <c r="B30" s="59" t="s">
        <v>123</v>
      </c>
      <c r="C30" s="60" t="str">
        <f>MAT01_ConceptDesign!P77</f>
        <v>Yes - Hard landscaping</v>
      </c>
    </row>
    <row r="31" spans="2:3" x14ac:dyDescent="0.25">
      <c r="B31" s="58" t="str">
        <f>IF(C30="yes - Substructure",Classification!$C$10,IF(C30="yes - Hard landscaping",Classification!$C$11,""))</f>
        <v>8.2 Roads, paths and pavings</v>
      </c>
      <c r="C31" s="122"/>
    </row>
    <row r="32" spans="2:3" x14ac:dyDescent="0.25">
      <c r="B32" s="133" t="s">
        <v>10</v>
      </c>
      <c r="C32" s="119"/>
    </row>
    <row r="33" spans="2:3" ht="15.75" thickBot="1" x14ac:dyDescent="0.3">
      <c r="B33" s="127" t="s">
        <v>12</v>
      </c>
      <c r="C33" s="127"/>
    </row>
    <row r="34" spans="2:3" ht="30" x14ac:dyDescent="0.25">
      <c r="B34" s="123" t="s">
        <v>244</v>
      </c>
      <c r="C34" s="121"/>
    </row>
    <row r="35" spans="2:3" x14ac:dyDescent="0.25"/>
  </sheetData>
  <sheetProtection algorithmName="SHA-512" hashValue="EDGDUS3Z5V9wk7zUumBlOJ+1VrA6xL+s91c3DF4yZ9mKyaGKFh9HoY/dfJxNAv/5hCDj3lbWgKdRhtY8jBrzyA==" saltValue="lSxZWTa4AscSgm4aC2oYWA==" spinCount="100000" sheet="1" formatRows="0" insertRows="0"/>
  <hyperlinks>
    <hyperlink ref="B1" location="'Option 1'!A1" display="Link" xr:uid="{00000000-0004-0000-0600-000000000000}"/>
    <hyperlink ref="B1:C1" location="Calculator!A1" display="Options Comparison" xr:uid="{00000000-0004-0000-0600-000001000000}"/>
    <hyperlink ref="B3" location="MAT01_ConceptDesign!A1" display="Return to Concept Design Sheet" xr:uid="{00000000-0004-0000-0600-000002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37"/>
  <sheetViews>
    <sheetView showGridLines="0" zoomScale="70" zoomScaleNormal="70" workbookViewId="0">
      <selection activeCell="B10" sqref="B10"/>
    </sheetView>
  </sheetViews>
  <sheetFormatPr defaultColWidth="0" defaultRowHeight="15" zeroHeight="1" x14ac:dyDescent="0.25"/>
  <cols>
    <col min="1" max="1" width="3.28515625" customWidth="1"/>
    <col min="2" max="2" width="47.42578125" style="129" customWidth="1"/>
    <col min="3" max="3" width="110.7109375" customWidth="1"/>
    <col min="4" max="8" width="8.85546875" customWidth="1"/>
    <col min="9" max="17" width="0" hidden="1" customWidth="1"/>
    <col min="18" max="16384" width="8.85546875" hidden="1"/>
  </cols>
  <sheetData>
    <row r="1" spans="1:17" s="2" customFormat="1" ht="21" x14ac:dyDescent="0.25">
      <c r="A1" s="51"/>
      <c r="Q1" s="5"/>
    </row>
    <row r="2" spans="1:17" s="2" customFormat="1" ht="56.45" customHeight="1" x14ac:dyDescent="0.25">
      <c r="A2" s="51"/>
      <c r="B2" s="350" t="str">
        <f>MAT01_ConceptDesign!B2</f>
        <v>BREEAM UK NC (2018) Mat 01/02 Results Submission Tool</v>
      </c>
      <c r="C2" s="38"/>
      <c r="D2" s="38"/>
      <c r="E2" s="54"/>
      <c r="F2" s="54"/>
      <c r="G2" s="54"/>
      <c r="H2" s="54"/>
      <c r="I2" s="54"/>
      <c r="J2" s="54"/>
      <c r="K2" s="54"/>
      <c r="L2" s="54"/>
      <c r="M2" s="54"/>
      <c r="N2" s="54"/>
      <c r="O2" s="54"/>
      <c r="Q2" s="5"/>
    </row>
    <row r="3" spans="1:17" s="2" customFormat="1" ht="21" x14ac:dyDescent="0.25">
      <c r="A3" s="51"/>
      <c r="B3" s="31" t="s">
        <v>170</v>
      </c>
      <c r="Q3" s="5"/>
    </row>
    <row r="4" spans="1:17" s="2" customFormat="1" ht="21" x14ac:dyDescent="0.35">
      <c r="A4" s="51"/>
      <c r="B4" s="124"/>
      <c r="C4" s="50"/>
      <c r="Q4" s="5"/>
    </row>
    <row r="5" spans="1:17" s="2" customFormat="1" ht="21" x14ac:dyDescent="0.25">
      <c r="A5" s="51"/>
      <c r="Q5" s="5"/>
    </row>
    <row r="6" spans="1:17" ht="31.5" x14ac:dyDescent="0.25">
      <c r="B6" s="128" t="s">
        <v>124</v>
      </c>
      <c r="C6" s="38"/>
      <c r="D6" s="38"/>
      <c r="E6" s="38"/>
      <c r="F6" s="38"/>
      <c r="G6" s="38"/>
    </row>
    <row r="7" spans="1:17" x14ac:dyDescent="0.25"/>
    <row r="8" spans="1:17" ht="15.75" thickBot="1" x14ac:dyDescent="0.3">
      <c r="B8" s="125" t="s">
        <v>129</v>
      </c>
      <c r="C8" s="120" t="s">
        <v>131</v>
      </c>
    </row>
    <row r="9" spans="1:17" x14ac:dyDescent="0.25">
      <c r="B9" s="126" t="str">
        <f>Classification!$C$12</f>
        <v>5.5.1 Heat source</v>
      </c>
      <c r="C9" s="132"/>
    </row>
    <row r="10" spans="1:17" x14ac:dyDescent="0.25">
      <c r="B10" s="119" t="s">
        <v>10</v>
      </c>
      <c r="C10" s="119"/>
    </row>
    <row r="11" spans="1:17" x14ac:dyDescent="0.25">
      <c r="B11" s="119" t="s">
        <v>12</v>
      </c>
      <c r="C11" s="119"/>
    </row>
    <row r="12" spans="1:17" x14ac:dyDescent="0.25">
      <c r="B12" s="123" t="str">
        <f>Classification!$C$13</f>
        <v>5.6 Space Heating and Air Conditioning</v>
      </c>
      <c r="C12" s="132"/>
    </row>
    <row r="13" spans="1:17" x14ac:dyDescent="0.25">
      <c r="B13" s="119" t="s">
        <v>10</v>
      </c>
      <c r="C13" s="119"/>
    </row>
    <row r="14" spans="1:17" x14ac:dyDescent="0.25">
      <c r="B14" s="119" t="s">
        <v>12</v>
      </c>
      <c r="C14" s="119"/>
    </row>
    <row r="15" spans="1:17" x14ac:dyDescent="0.25">
      <c r="B15" s="126" t="str">
        <f>Classification!$C$14</f>
        <v>5.7 Ventilation</v>
      </c>
      <c r="C15" s="132"/>
    </row>
    <row r="16" spans="1:17" x14ac:dyDescent="0.25">
      <c r="B16" s="119" t="s">
        <v>10</v>
      </c>
      <c r="C16" s="119"/>
    </row>
    <row r="17" spans="2:3" x14ac:dyDescent="0.25">
      <c r="B17" s="119" t="s">
        <v>12</v>
      </c>
      <c r="C17" s="119"/>
    </row>
    <row r="18" spans="2:3" x14ac:dyDescent="0.25">
      <c r="B18" s="123" t="str">
        <f>Classification!$C$15</f>
        <v>5.9 Fuel Installations / Systems</v>
      </c>
      <c r="C18" s="132"/>
    </row>
    <row r="19" spans="2:3" x14ac:dyDescent="0.25">
      <c r="B19" s="119" t="s">
        <v>10</v>
      </c>
      <c r="C19" s="119"/>
    </row>
    <row r="20" spans="2:3" ht="15.75" thickBot="1" x14ac:dyDescent="0.3">
      <c r="B20" s="127" t="s">
        <v>12</v>
      </c>
      <c r="C20" s="127"/>
    </row>
    <row r="21" spans="2:3" ht="30" customHeight="1" x14ac:dyDescent="0.25">
      <c r="B21" s="123" t="s">
        <v>244</v>
      </c>
      <c r="C21" s="121"/>
    </row>
    <row r="22" spans="2:3" x14ac:dyDescent="0.25">
      <c r="B22" s="1"/>
      <c r="C22" s="7"/>
    </row>
    <row r="23" spans="2:3" ht="15.75" thickBot="1" x14ac:dyDescent="0.3">
      <c r="B23" s="125" t="s">
        <v>130</v>
      </c>
      <c r="C23" s="120" t="s">
        <v>131</v>
      </c>
    </row>
    <row r="24" spans="2:3" x14ac:dyDescent="0.25">
      <c r="B24" s="126" t="str">
        <f>Classification!$C$12</f>
        <v>5.5.1 Heat source</v>
      </c>
      <c r="C24" s="132"/>
    </row>
    <row r="25" spans="2:3" x14ac:dyDescent="0.25">
      <c r="B25" s="119" t="s">
        <v>10</v>
      </c>
      <c r="C25" s="119"/>
    </row>
    <row r="26" spans="2:3" x14ac:dyDescent="0.25">
      <c r="B26" s="119" t="s">
        <v>12</v>
      </c>
      <c r="C26" s="119"/>
    </row>
    <row r="27" spans="2:3" x14ac:dyDescent="0.25">
      <c r="B27" s="123" t="str">
        <f>Classification!$C$13</f>
        <v>5.6 Space Heating and Air Conditioning</v>
      </c>
      <c r="C27" s="132"/>
    </row>
    <row r="28" spans="2:3" x14ac:dyDescent="0.25">
      <c r="B28" s="119" t="s">
        <v>10</v>
      </c>
      <c r="C28" s="119"/>
    </row>
    <row r="29" spans="2:3" x14ac:dyDescent="0.25">
      <c r="B29" s="119" t="s">
        <v>12</v>
      </c>
      <c r="C29" s="119"/>
    </row>
    <row r="30" spans="2:3" x14ac:dyDescent="0.25">
      <c r="B30" s="126" t="str">
        <f>Classification!$C$14</f>
        <v>5.7 Ventilation</v>
      </c>
      <c r="C30" s="132"/>
    </row>
    <row r="31" spans="2:3" x14ac:dyDescent="0.25">
      <c r="B31" s="119" t="s">
        <v>10</v>
      </c>
      <c r="C31" s="119"/>
    </row>
    <row r="32" spans="2:3" x14ac:dyDescent="0.25">
      <c r="B32" s="119" t="s">
        <v>12</v>
      </c>
      <c r="C32" s="119"/>
    </row>
    <row r="33" spans="2:3" x14ac:dyDescent="0.25">
      <c r="B33" s="123" t="str">
        <f>Classification!$C$15</f>
        <v>5.9 Fuel Installations / Systems</v>
      </c>
      <c r="C33" s="132"/>
    </row>
    <row r="34" spans="2:3" x14ac:dyDescent="0.25">
      <c r="B34" s="119" t="s">
        <v>10</v>
      </c>
      <c r="C34" s="119"/>
    </row>
    <row r="35" spans="2:3" ht="15.75" thickBot="1" x14ac:dyDescent="0.3">
      <c r="B35" s="127" t="s">
        <v>12</v>
      </c>
      <c r="C35" s="127"/>
    </row>
    <row r="36" spans="2:3" ht="37.15" customHeight="1" x14ac:dyDescent="0.25">
      <c r="B36" s="123" t="s">
        <v>244</v>
      </c>
      <c r="C36" s="121"/>
    </row>
    <row r="37" spans="2:3" x14ac:dyDescent="0.25"/>
  </sheetData>
  <sheetProtection algorithmName="SHA-512" hashValue="C4WFjs+t1ebtPAaD8sJeqMeSVfrvrxeWOpJuUNBwOioYxLJodrxzfQ2A5keqaOU6S5b/lddADDy8ZCLMZ3qgDA==" saltValue="N+1CdhAwKPbw147evxuQ6Q==" spinCount="100000" sheet="1" formatRows="0" insertRows="0"/>
  <hyperlinks>
    <hyperlink ref="B1" location="'Option 1'!A1" display="Link" xr:uid="{00000000-0004-0000-0700-000000000000}"/>
    <hyperlink ref="B1:C1" location="Calculator!A1" display="Options Comparison" xr:uid="{00000000-0004-0000-0700-000001000000}"/>
    <hyperlink ref="B3" location="MAT01_ConceptDesign!A1" display="Return to Concept Design Sheet" xr:uid="{00000000-0004-0000-0700-000002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55"/>
  <sheetViews>
    <sheetView showGridLines="0" zoomScale="70" zoomScaleNormal="70" workbookViewId="0">
      <selection activeCell="B10" sqref="B10"/>
    </sheetView>
  </sheetViews>
  <sheetFormatPr defaultColWidth="0" defaultRowHeight="15" zeroHeight="1" x14ac:dyDescent="0.25"/>
  <cols>
    <col min="1" max="1" width="3.28515625" customWidth="1"/>
    <col min="2" max="2" width="40.7109375" customWidth="1"/>
    <col min="3" max="3" width="110.7109375" customWidth="1"/>
    <col min="4" max="8" width="8.85546875" customWidth="1"/>
    <col min="9" max="17" width="0" hidden="1" customWidth="1"/>
    <col min="18" max="16384" width="8.85546875" hidden="1"/>
  </cols>
  <sheetData>
    <row r="1" spans="1:17" s="2" customFormat="1" ht="21" x14ac:dyDescent="0.25">
      <c r="A1" s="51"/>
      <c r="Q1" s="5"/>
    </row>
    <row r="2" spans="1:17" s="25" customFormat="1" ht="56.45" customHeight="1" x14ac:dyDescent="0.25">
      <c r="A2" s="51"/>
      <c r="B2" s="38" t="str">
        <f>MAT01_ConceptDesign!B2</f>
        <v>BREEAM UK NC (2018) Mat 01/02 Results Submission Tool</v>
      </c>
      <c r="C2" s="38"/>
      <c r="D2" s="54"/>
      <c r="E2" s="54"/>
      <c r="F2" s="54"/>
      <c r="G2" s="54"/>
      <c r="H2" s="54"/>
      <c r="I2" s="55"/>
      <c r="J2" s="55"/>
      <c r="K2" s="55"/>
      <c r="L2" s="55"/>
      <c r="M2" s="55"/>
      <c r="N2" s="55"/>
      <c r="O2" s="55"/>
      <c r="Q2" s="26"/>
    </row>
    <row r="3" spans="1:17" s="2" customFormat="1" ht="21" x14ac:dyDescent="0.25">
      <c r="A3" s="51"/>
      <c r="B3" s="31" t="s">
        <v>171</v>
      </c>
      <c r="Q3" s="5"/>
    </row>
    <row r="4" spans="1:17" s="2" customFormat="1" ht="21" x14ac:dyDescent="0.35">
      <c r="A4" s="51"/>
      <c r="B4" s="49"/>
      <c r="C4" s="50"/>
      <c r="Q4" s="5"/>
    </row>
    <row r="5" spans="1:17" s="2" customFormat="1" ht="21" x14ac:dyDescent="0.25">
      <c r="A5" s="51"/>
      <c r="Q5" s="5"/>
    </row>
    <row r="6" spans="1:17" ht="31.9" customHeight="1" x14ac:dyDescent="0.25">
      <c r="B6" s="37" t="s">
        <v>116</v>
      </c>
      <c r="C6" s="38"/>
      <c r="D6" s="38"/>
      <c r="E6" s="38"/>
      <c r="F6" s="38"/>
      <c r="G6" s="38"/>
      <c r="H6" s="54"/>
      <c r="I6" s="54"/>
    </row>
    <row r="7" spans="1:17" x14ac:dyDescent="0.25"/>
    <row r="8" spans="1:17" ht="15.75" thickBot="1" x14ac:dyDescent="0.3">
      <c r="B8" s="56" t="s">
        <v>132</v>
      </c>
      <c r="C8" s="56" t="s">
        <v>134</v>
      </c>
    </row>
    <row r="9" spans="1:17" x14ac:dyDescent="0.25">
      <c r="B9" s="123" t="str">
        <f>Classification!$C$3</f>
        <v>2.1 Frame</v>
      </c>
      <c r="C9" s="132"/>
    </row>
    <row r="10" spans="1:17" x14ac:dyDescent="0.25">
      <c r="B10" s="119" t="s">
        <v>10</v>
      </c>
      <c r="C10" s="119"/>
    </row>
    <row r="11" spans="1:17" x14ac:dyDescent="0.25">
      <c r="B11" s="119" t="s">
        <v>12</v>
      </c>
      <c r="C11" s="119"/>
    </row>
    <row r="12" spans="1:17" x14ac:dyDescent="0.25">
      <c r="B12" s="126" t="str">
        <f>Classification!$C$4</f>
        <v>2.2 Upper floors</v>
      </c>
      <c r="C12" s="132"/>
    </row>
    <row r="13" spans="1:17" x14ac:dyDescent="0.25">
      <c r="B13" s="119" t="s">
        <v>10</v>
      </c>
      <c r="C13" s="119"/>
    </row>
    <row r="14" spans="1:17" x14ac:dyDescent="0.25">
      <c r="B14" s="119" t="s">
        <v>12</v>
      </c>
      <c r="C14" s="119"/>
    </row>
    <row r="15" spans="1:17" x14ac:dyDescent="0.25">
      <c r="B15" s="126" t="str">
        <f>Classification!$C$5</f>
        <v>2.3 Roof</v>
      </c>
      <c r="C15" s="132"/>
    </row>
    <row r="16" spans="1:17" x14ac:dyDescent="0.25">
      <c r="B16" s="119" t="s">
        <v>10</v>
      </c>
      <c r="C16" s="119"/>
    </row>
    <row r="17" spans="2:3" x14ac:dyDescent="0.25">
      <c r="B17" s="119" t="s">
        <v>12</v>
      </c>
      <c r="C17" s="119"/>
    </row>
    <row r="18" spans="2:3" x14ac:dyDescent="0.25">
      <c r="B18" s="126" t="str">
        <f>Classification!$C$6</f>
        <v>2.4 Stairs and ramps</v>
      </c>
      <c r="C18" s="132"/>
    </row>
    <row r="19" spans="2:3" x14ac:dyDescent="0.25">
      <c r="B19" s="119" t="s">
        <v>10</v>
      </c>
      <c r="C19" s="119"/>
    </row>
    <row r="20" spans="2:3" x14ac:dyDescent="0.25">
      <c r="B20" s="119" t="s">
        <v>12</v>
      </c>
      <c r="C20" s="119"/>
    </row>
    <row r="21" spans="2:3" x14ac:dyDescent="0.25">
      <c r="B21" s="126" t="str">
        <f>Classification!$C$7</f>
        <v>2.5 External walls</v>
      </c>
      <c r="C21" s="132"/>
    </row>
    <row r="22" spans="2:3" x14ac:dyDescent="0.25">
      <c r="B22" s="119" t="s">
        <v>10</v>
      </c>
      <c r="C22" s="119"/>
    </row>
    <row r="23" spans="2:3" x14ac:dyDescent="0.25">
      <c r="B23" s="119" t="s">
        <v>12</v>
      </c>
      <c r="C23" s="119"/>
    </row>
    <row r="24" spans="2:3" x14ac:dyDescent="0.25">
      <c r="B24" s="126" t="str">
        <f>Classification!$C$8</f>
        <v>2.6 Windows and external doors</v>
      </c>
      <c r="C24" s="132"/>
    </row>
    <row r="25" spans="2:3" x14ac:dyDescent="0.25">
      <c r="B25" s="119" t="s">
        <v>10</v>
      </c>
      <c r="C25" s="119"/>
    </row>
    <row r="26" spans="2:3" x14ac:dyDescent="0.25">
      <c r="B26" s="119" t="s">
        <v>12</v>
      </c>
      <c r="C26" s="119"/>
    </row>
    <row r="27" spans="2:3" x14ac:dyDescent="0.25">
      <c r="B27" s="126" t="str">
        <f>Classification!$C$9</f>
        <v>2.7 Internal walls and partitions</v>
      </c>
      <c r="C27" s="132"/>
    </row>
    <row r="28" spans="2:3" x14ac:dyDescent="0.25">
      <c r="B28" s="119" t="s">
        <v>10</v>
      </c>
      <c r="C28" s="119"/>
    </row>
    <row r="29" spans="2:3" ht="15.75" thickBot="1" x14ac:dyDescent="0.3">
      <c r="B29" s="127" t="s">
        <v>12</v>
      </c>
      <c r="C29" s="127"/>
    </row>
    <row r="30" spans="2:3" ht="30" x14ac:dyDescent="0.25">
      <c r="B30" s="123" t="s">
        <v>244</v>
      </c>
      <c r="C30" s="121"/>
    </row>
    <row r="31" spans="2:3" x14ac:dyDescent="0.25"/>
    <row r="32" spans="2:3" ht="15.75" thickBot="1" x14ac:dyDescent="0.3">
      <c r="B32" s="56" t="s">
        <v>133</v>
      </c>
      <c r="C32" s="56" t="s">
        <v>134</v>
      </c>
    </row>
    <row r="33" spans="2:3" x14ac:dyDescent="0.25">
      <c r="B33" s="123" t="str">
        <f>Classification!$C$3</f>
        <v>2.1 Frame</v>
      </c>
      <c r="C33" s="132"/>
    </row>
    <row r="34" spans="2:3" x14ac:dyDescent="0.25">
      <c r="B34" s="119" t="s">
        <v>10</v>
      </c>
      <c r="C34" s="119"/>
    </row>
    <row r="35" spans="2:3" x14ac:dyDescent="0.25">
      <c r="B35" s="119" t="s">
        <v>12</v>
      </c>
      <c r="C35" s="119"/>
    </row>
    <row r="36" spans="2:3" x14ac:dyDescent="0.25">
      <c r="B36" s="126" t="str">
        <f>Classification!$C$4</f>
        <v>2.2 Upper floors</v>
      </c>
      <c r="C36" s="132"/>
    </row>
    <row r="37" spans="2:3" x14ac:dyDescent="0.25">
      <c r="B37" s="119" t="s">
        <v>10</v>
      </c>
      <c r="C37" s="119"/>
    </row>
    <row r="38" spans="2:3" x14ac:dyDescent="0.25">
      <c r="B38" s="119" t="s">
        <v>12</v>
      </c>
      <c r="C38" s="119"/>
    </row>
    <row r="39" spans="2:3" x14ac:dyDescent="0.25">
      <c r="B39" s="126" t="str">
        <f>Classification!$C$5</f>
        <v>2.3 Roof</v>
      </c>
      <c r="C39" s="132"/>
    </row>
    <row r="40" spans="2:3" x14ac:dyDescent="0.25">
      <c r="B40" s="119" t="s">
        <v>10</v>
      </c>
      <c r="C40" s="119"/>
    </row>
    <row r="41" spans="2:3" x14ac:dyDescent="0.25">
      <c r="B41" s="119" t="s">
        <v>12</v>
      </c>
      <c r="C41" s="119"/>
    </row>
    <row r="42" spans="2:3" x14ac:dyDescent="0.25">
      <c r="B42" s="126" t="str">
        <f>Classification!$C$6</f>
        <v>2.4 Stairs and ramps</v>
      </c>
      <c r="C42" s="132"/>
    </row>
    <row r="43" spans="2:3" x14ac:dyDescent="0.25">
      <c r="B43" s="119" t="s">
        <v>10</v>
      </c>
      <c r="C43" s="119"/>
    </row>
    <row r="44" spans="2:3" x14ac:dyDescent="0.25">
      <c r="B44" s="119" t="s">
        <v>12</v>
      </c>
      <c r="C44" s="119"/>
    </row>
    <row r="45" spans="2:3" x14ac:dyDescent="0.25">
      <c r="B45" s="126" t="str">
        <f>Classification!$C$7</f>
        <v>2.5 External walls</v>
      </c>
      <c r="C45" s="132"/>
    </row>
    <row r="46" spans="2:3" x14ac:dyDescent="0.25">
      <c r="B46" s="119" t="s">
        <v>10</v>
      </c>
      <c r="C46" s="119"/>
    </row>
    <row r="47" spans="2:3" x14ac:dyDescent="0.25">
      <c r="B47" s="119" t="s">
        <v>12</v>
      </c>
      <c r="C47" s="119"/>
    </row>
    <row r="48" spans="2:3" x14ac:dyDescent="0.25">
      <c r="B48" s="126" t="str">
        <f>Classification!$C$8</f>
        <v>2.6 Windows and external doors</v>
      </c>
      <c r="C48" s="132"/>
    </row>
    <row r="49" spans="2:3" x14ac:dyDescent="0.25">
      <c r="B49" s="119" t="s">
        <v>10</v>
      </c>
      <c r="C49" s="119"/>
    </row>
    <row r="50" spans="2:3" x14ac:dyDescent="0.25">
      <c r="B50" s="119" t="s">
        <v>12</v>
      </c>
      <c r="C50" s="119"/>
    </row>
    <row r="51" spans="2:3" x14ac:dyDescent="0.25">
      <c r="B51" s="126" t="str">
        <f>Classification!$C$9</f>
        <v>2.7 Internal walls and partitions</v>
      </c>
      <c r="C51" s="132"/>
    </row>
    <row r="52" spans="2:3" x14ac:dyDescent="0.25">
      <c r="B52" s="119" t="s">
        <v>10</v>
      </c>
      <c r="C52" s="119"/>
    </row>
    <row r="53" spans="2:3" ht="15.75" thickBot="1" x14ac:dyDescent="0.3">
      <c r="B53" s="127" t="s">
        <v>12</v>
      </c>
      <c r="C53" s="127"/>
    </row>
    <row r="54" spans="2:3" ht="30" x14ac:dyDescent="0.25">
      <c r="B54" s="123" t="s">
        <v>244</v>
      </c>
      <c r="C54" s="121"/>
    </row>
    <row r="55" spans="2:3" x14ac:dyDescent="0.25"/>
  </sheetData>
  <sheetProtection algorithmName="SHA-512" hashValue="hhvLbbzeXHIAhIpvCkLEdAmKjEMuyB+zY/nVwtmdC0dse58TW6zUZynq+pEZvIGgKa4iGHsN5zSF1+3Y1oj4Mw==" saltValue="tvX9tXiTaLMjmCSAU3h0zQ==" spinCount="100000" sheet="1" formatRows="0" insertRows="0"/>
  <hyperlinks>
    <hyperlink ref="B3" location="MAT01_TechnicalDesign!A1" display="Return to Concept Design Sheet" xr:uid="{00000000-0004-0000-08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WVW12"/>
  <sheetViews>
    <sheetView showGridLines="0" topLeftCell="A2" zoomScale="80" zoomScaleNormal="80" workbookViewId="0">
      <selection activeCell="F12" sqref="F12:N12"/>
    </sheetView>
  </sheetViews>
  <sheetFormatPr defaultColWidth="0" defaultRowHeight="12.75" x14ac:dyDescent="0.2"/>
  <cols>
    <col min="1" max="1" width="4.42578125" style="39" customWidth="1"/>
    <col min="2" max="2" width="17.28515625" style="39" customWidth="1"/>
    <col min="3" max="3" width="1.7109375" style="39" customWidth="1"/>
    <col min="4" max="4" width="14.140625" style="39" customWidth="1"/>
    <col min="5" max="5" width="2.5703125" style="39" customWidth="1"/>
    <col min="6" max="7" width="11.28515625" style="39" customWidth="1"/>
    <col min="8" max="8" width="12.28515625" style="39" customWidth="1"/>
    <col min="9" max="13" width="11.28515625" style="39" customWidth="1"/>
    <col min="14" max="14" width="5.5703125" style="39" customWidth="1"/>
    <col min="15" max="15" width="5.7109375" style="39" customWidth="1"/>
    <col min="16" max="19" width="9.140625" style="39" customWidth="1"/>
    <col min="20" max="256" width="9.140625" style="39" hidden="1"/>
    <col min="257" max="257" width="4.42578125" style="39" hidden="1"/>
    <col min="258" max="258" width="17.28515625" style="39" hidden="1"/>
    <col min="259" max="259" width="1.7109375" style="39" hidden="1"/>
    <col min="260" max="260" width="14.140625" style="39" hidden="1"/>
    <col min="261" max="261" width="2.5703125" style="39" hidden="1"/>
    <col min="262" max="263" width="11.28515625" style="39" hidden="1"/>
    <col min="264" max="264" width="12.28515625" style="39" hidden="1"/>
    <col min="265" max="269" width="11.28515625" style="39" hidden="1"/>
    <col min="270" max="270" width="5.5703125" style="39" hidden="1"/>
    <col min="271" max="271" width="5.7109375" style="39" hidden="1"/>
    <col min="272" max="512" width="9.140625" style="39" hidden="1"/>
    <col min="513" max="513" width="4.42578125" style="39" hidden="1"/>
    <col min="514" max="514" width="17.28515625" style="39" hidden="1"/>
    <col min="515" max="515" width="1.7109375" style="39" hidden="1"/>
    <col min="516" max="516" width="14.140625" style="39" hidden="1"/>
    <col min="517" max="517" width="2.5703125" style="39" hidden="1"/>
    <col min="518" max="519" width="11.28515625" style="39" hidden="1"/>
    <col min="520" max="520" width="12.28515625" style="39" hidden="1"/>
    <col min="521" max="525" width="11.28515625" style="39" hidden="1"/>
    <col min="526" max="526" width="5.5703125" style="39" hidden="1"/>
    <col min="527" max="527" width="5.7109375" style="39" hidden="1"/>
    <col min="528" max="768" width="9.140625" style="39" hidden="1"/>
    <col min="769" max="769" width="4.42578125" style="39" hidden="1"/>
    <col min="770" max="770" width="17.28515625" style="39" hidden="1"/>
    <col min="771" max="771" width="1.7109375" style="39" hidden="1"/>
    <col min="772" max="772" width="14.140625" style="39" hidden="1"/>
    <col min="773" max="773" width="2.5703125" style="39" hidden="1"/>
    <col min="774" max="775" width="11.28515625" style="39" hidden="1"/>
    <col min="776" max="776" width="12.28515625" style="39" hidden="1"/>
    <col min="777" max="781" width="11.28515625" style="39" hidden="1"/>
    <col min="782" max="782" width="5.5703125" style="39" hidden="1"/>
    <col min="783" max="783" width="5.7109375" style="39" hidden="1"/>
    <col min="784" max="1024" width="9.140625" style="39" hidden="1"/>
    <col min="1025" max="1025" width="4.42578125" style="39" hidden="1"/>
    <col min="1026" max="1026" width="17.28515625" style="39" hidden="1"/>
    <col min="1027" max="1027" width="1.7109375" style="39" hidden="1"/>
    <col min="1028" max="1028" width="14.140625" style="39" hidden="1"/>
    <col min="1029" max="1029" width="2.5703125" style="39" hidden="1"/>
    <col min="1030" max="1031" width="11.28515625" style="39" hidden="1"/>
    <col min="1032" max="1032" width="12.28515625" style="39" hidden="1"/>
    <col min="1033" max="1037" width="11.28515625" style="39" hidden="1"/>
    <col min="1038" max="1038" width="5.5703125" style="39" hidden="1"/>
    <col min="1039" max="1039" width="5.7109375" style="39" hidden="1"/>
    <col min="1040" max="1280" width="9.140625" style="39" hidden="1"/>
    <col min="1281" max="1281" width="4.42578125" style="39" hidden="1"/>
    <col min="1282" max="1282" width="17.28515625" style="39" hidden="1"/>
    <col min="1283" max="1283" width="1.7109375" style="39" hidden="1"/>
    <col min="1284" max="1284" width="14.140625" style="39" hidden="1"/>
    <col min="1285" max="1285" width="2.5703125" style="39" hidden="1"/>
    <col min="1286" max="1287" width="11.28515625" style="39" hidden="1"/>
    <col min="1288" max="1288" width="12.28515625" style="39" hidden="1"/>
    <col min="1289" max="1293" width="11.28515625" style="39" hidden="1"/>
    <col min="1294" max="1294" width="5.5703125" style="39" hidden="1"/>
    <col min="1295" max="1295" width="5.7109375" style="39" hidden="1"/>
    <col min="1296" max="1536" width="9.140625" style="39" hidden="1"/>
    <col min="1537" max="1537" width="4.42578125" style="39" hidden="1"/>
    <col min="1538" max="1538" width="17.28515625" style="39" hidden="1"/>
    <col min="1539" max="1539" width="1.7109375" style="39" hidden="1"/>
    <col min="1540" max="1540" width="14.140625" style="39" hidden="1"/>
    <col min="1541" max="1541" width="2.5703125" style="39" hidden="1"/>
    <col min="1542" max="1543" width="11.28515625" style="39" hidden="1"/>
    <col min="1544" max="1544" width="12.28515625" style="39" hidden="1"/>
    <col min="1545" max="1549" width="11.28515625" style="39" hidden="1"/>
    <col min="1550" max="1550" width="5.5703125" style="39" hidden="1"/>
    <col min="1551" max="1551" width="5.7109375" style="39" hidden="1"/>
    <col min="1552" max="1792" width="9.140625" style="39" hidden="1"/>
    <col min="1793" max="1793" width="4.42578125" style="39" hidden="1"/>
    <col min="1794" max="1794" width="17.28515625" style="39" hidden="1"/>
    <col min="1795" max="1795" width="1.7109375" style="39" hidden="1"/>
    <col min="1796" max="1796" width="14.140625" style="39" hidden="1"/>
    <col min="1797" max="1797" width="2.5703125" style="39" hidden="1"/>
    <col min="1798" max="1799" width="11.28515625" style="39" hidden="1"/>
    <col min="1800" max="1800" width="12.28515625" style="39" hidden="1"/>
    <col min="1801" max="1805" width="11.28515625" style="39" hidden="1"/>
    <col min="1806" max="1806" width="5.5703125" style="39" hidden="1"/>
    <col min="1807" max="1807" width="5.7109375" style="39" hidden="1"/>
    <col min="1808" max="2048" width="9.140625" style="39" hidden="1"/>
    <col min="2049" max="2049" width="4.42578125" style="39" hidden="1"/>
    <col min="2050" max="2050" width="17.28515625" style="39" hidden="1"/>
    <col min="2051" max="2051" width="1.7109375" style="39" hidden="1"/>
    <col min="2052" max="2052" width="14.140625" style="39" hidden="1"/>
    <col min="2053" max="2053" width="2.5703125" style="39" hidden="1"/>
    <col min="2054" max="2055" width="11.28515625" style="39" hidden="1"/>
    <col min="2056" max="2056" width="12.28515625" style="39" hidden="1"/>
    <col min="2057" max="2061" width="11.28515625" style="39" hidden="1"/>
    <col min="2062" max="2062" width="5.5703125" style="39" hidden="1"/>
    <col min="2063" max="2063" width="5.7109375" style="39" hidden="1"/>
    <col min="2064" max="2304" width="9.140625" style="39" hidden="1"/>
    <col min="2305" max="2305" width="4.42578125" style="39" hidden="1"/>
    <col min="2306" max="2306" width="17.28515625" style="39" hidden="1"/>
    <col min="2307" max="2307" width="1.7109375" style="39" hidden="1"/>
    <col min="2308" max="2308" width="14.140625" style="39" hidden="1"/>
    <col min="2309" max="2309" width="2.5703125" style="39" hidden="1"/>
    <col min="2310" max="2311" width="11.28515625" style="39" hidden="1"/>
    <col min="2312" max="2312" width="12.28515625" style="39" hidden="1"/>
    <col min="2313" max="2317" width="11.28515625" style="39" hidden="1"/>
    <col min="2318" max="2318" width="5.5703125" style="39" hidden="1"/>
    <col min="2319" max="2319" width="5.7109375" style="39" hidden="1"/>
    <col min="2320" max="2560" width="9.140625" style="39" hidden="1"/>
    <col min="2561" max="2561" width="4.42578125" style="39" hidden="1"/>
    <col min="2562" max="2562" width="17.28515625" style="39" hidden="1"/>
    <col min="2563" max="2563" width="1.7109375" style="39" hidden="1"/>
    <col min="2564" max="2564" width="14.140625" style="39" hidden="1"/>
    <col min="2565" max="2565" width="2.5703125" style="39" hidden="1"/>
    <col min="2566" max="2567" width="11.28515625" style="39" hidden="1"/>
    <col min="2568" max="2568" width="12.28515625" style="39" hidden="1"/>
    <col min="2569" max="2573" width="11.28515625" style="39" hidden="1"/>
    <col min="2574" max="2574" width="5.5703125" style="39" hidden="1"/>
    <col min="2575" max="2575" width="5.7109375" style="39" hidden="1"/>
    <col min="2576" max="2816" width="9.140625" style="39" hidden="1"/>
    <col min="2817" max="2817" width="4.42578125" style="39" hidden="1"/>
    <col min="2818" max="2818" width="17.28515625" style="39" hidden="1"/>
    <col min="2819" max="2819" width="1.7109375" style="39" hidden="1"/>
    <col min="2820" max="2820" width="14.140625" style="39" hidden="1"/>
    <col min="2821" max="2821" width="2.5703125" style="39" hidden="1"/>
    <col min="2822" max="2823" width="11.28515625" style="39" hidden="1"/>
    <col min="2824" max="2824" width="12.28515625" style="39" hidden="1"/>
    <col min="2825" max="2829" width="11.28515625" style="39" hidden="1"/>
    <col min="2830" max="2830" width="5.5703125" style="39" hidden="1"/>
    <col min="2831" max="2831" width="5.7109375" style="39" hidden="1"/>
    <col min="2832" max="3072" width="9.140625" style="39" hidden="1"/>
    <col min="3073" max="3073" width="4.42578125" style="39" hidden="1"/>
    <col min="3074" max="3074" width="17.28515625" style="39" hidden="1"/>
    <col min="3075" max="3075" width="1.7109375" style="39" hidden="1"/>
    <col min="3076" max="3076" width="14.140625" style="39" hidden="1"/>
    <col min="3077" max="3077" width="2.5703125" style="39" hidden="1"/>
    <col min="3078" max="3079" width="11.28515625" style="39" hidden="1"/>
    <col min="3080" max="3080" width="12.28515625" style="39" hidden="1"/>
    <col min="3081" max="3085" width="11.28515625" style="39" hidden="1"/>
    <col min="3086" max="3086" width="5.5703125" style="39" hidden="1"/>
    <col min="3087" max="3087" width="5.7109375" style="39" hidden="1"/>
    <col min="3088" max="3328" width="9.140625" style="39" hidden="1"/>
    <col min="3329" max="3329" width="4.42578125" style="39" hidden="1"/>
    <col min="3330" max="3330" width="17.28515625" style="39" hidden="1"/>
    <col min="3331" max="3331" width="1.7109375" style="39" hidden="1"/>
    <col min="3332" max="3332" width="14.140625" style="39" hidden="1"/>
    <col min="3333" max="3333" width="2.5703125" style="39" hidden="1"/>
    <col min="3334" max="3335" width="11.28515625" style="39" hidden="1"/>
    <col min="3336" max="3336" width="12.28515625" style="39" hidden="1"/>
    <col min="3337" max="3341" width="11.28515625" style="39" hidden="1"/>
    <col min="3342" max="3342" width="5.5703125" style="39" hidden="1"/>
    <col min="3343" max="3343" width="5.7109375" style="39" hidden="1"/>
    <col min="3344" max="3584" width="9.140625" style="39" hidden="1"/>
    <col min="3585" max="3585" width="4.42578125" style="39" hidden="1"/>
    <col min="3586" max="3586" width="17.28515625" style="39" hidden="1"/>
    <col min="3587" max="3587" width="1.7109375" style="39" hidden="1"/>
    <col min="3588" max="3588" width="14.140625" style="39" hidden="1"/>
    <col min="3589" max="3589" width="2.5703125" style="39" hidden="1"/>
    <col min="3590" max="3591" width="11.28515625" style="39" hidden="1"/>
    <col min="3592" max="3592" width="12.28515625" style="39" hidden="1"/>
    <col min="3593" max="3597" width="11.28515625" style="39" hidden="1"/>
    <col min="3598" max="3598" width="5.5703125" style="39" hidden="1"/>
    <col min="3599" max="3599" width="5.7109375" style="39" hidden="1"/>
    <col min="3600" max="3840" width="9.140625" style="39" hidden="1"/>
    <col min="3841" max="3841" width="4.42578125" style="39" hidden="1"/>
    <col min="3842" max="3842" width="17.28515625" style="39" hidden="1"/>
    <col min="3843" max="3843" width="1.7109375" style="39" hidden="1"/>
    <col min="3844" max="3844" width="14.140625" style="39" hidden="1"/>
    <col min="3845" max="3845" width="2.5703125" style="39" hidden="1"/>
    <col min="3846" max="3847" width="11.28515625" style="39" hidden="1"/>
    <col min="3848" max="3848" width="12.28515625" style="39" hidden="1"/>
    <col min="3849" max="3853" width="11.28515625" style="39" hidden="1"/>
    <col min="3854" max="3854" width="5.5703125" style="39" hidden="1"/>
    <col min="3855" max="3855" width="5.7109375" style="39" hidden="1"/>
    <col min="3856" max="4096" width="9.140625" style="39" hidden="1"/>
    <col min="4097" max="4097" width="4.42578125" style="39" hidden="1"/>
    <col min="4098" max="4098" width="17.28515625" style="39" hidden="1"/>
    <col min="4099" max="4099" width="1.7109375" style="39" hidden="1"/>
    <col min="4100" max="4100" width="14.140625" style="39" hidden="1"/>
    <col min="4101" max="4101" width="2.5703125" style="39" hidden="1"/>
    <col min="4102" max="4103" width="11.28515625" style="39" hidden="1"/>
    <col min="4104" max="4104" width="12.28515625" style="39" hidden="1"/>
    <col min="4105" max="4109" width="11.28515625" style="39" hidden="1"/>
    <col min="4110" max="4110" width="5.5703125" style="39" hidden="1"/>
    <col min="4111" max="4111" width="5.7109375" style="39" hidden="1"/>
    <col min="4112" max="4352" width="9.140625" style="39" hidden="1"/>
    <col min="4353" max="4353" width="4.42578125" style="39" hidden="1"/>
    <col min="4354" max="4354" width="17.28515625" style="39" hidden="1"/>
    <col min="4355" max="4355" width="1.7109375" style="39" hidden="1"/>
    <col min="4356" max="4356" width="14.140625" style="39" hidden="1"/>
    <col min="4357" max="4357" width="2.5703125" style="39" hidden="1"/>
    <col min="4358" max="4359" width="11.28515625" style="39" hidden="1"/>
    <col min="4360" max="4360" width="12.28515625" style="39" hidden="1"/>
    <col min="4361" max="4365" width="11.28515625" style="39" hidden="1"/>
    <col min="4366" max="4366" width="5.5703125" style="39" hidden="1"/>
    <col min="4367" max="4367" width="5.7109375" style="39" hidden="1"/>
    <col min="4368" max="4608" width="9.140625" style="39" hidden="1"/>
    <col min="4609" max="4609" width="4.42578125" style="39" hidden="1"/>
    <col min="4610" max="4610" width="17.28515625" style="39" hidden="1"/>
    <col min="4611" max="4611" width="1.7109375" style="39" hidden="1"/>
    <col min="4612" max="4612" width="14.140625" style="39" hidden="1"/>
    <col min="4613" max="4613" width="2.5703125" style="39" hidden="1"/>
    <col min="4614" max="4615" width="11.28515625" style="39" hidden="1"/>
    <col min="4616" max="4616" width="12.28515625" style="39" hidden="1"/>
    <col min="4617" max="4621" width="11.28515625" style="39" hidden="1"/>
    <col min="4622" max="4622" width="5.5703125" style="39" hidden="1"/>
    <col min="4623" max="4623" width="5.7109375" style="39" hidden="1"/>
    <col min="4624" max="4864" width="9.140625" style="39" hidden="1"/>
    <col min="4865" max="4865" width="4.42578125" style="39" hidden="1"/>
    <col min="4866" max="4866" width="17.28515625" style="39" hidden="1"/>
    <col min="4867" max="4867" width="1.7109375" style="39" hidden="1"/>
    <col min="4868" max="4868" width="14.140625" style="39" hidden="1"/>
    <col min="4869" max="4869" width="2.5703125" style="39" hidden="1"/>
    <col min="4870" max="4871" width="11.28515625" style="39" hidden="1"/>
    <col min="4872" max="4872" width="12.28515625" style="39" hidden="1"/>
    <col min="4873" max="4877" width="11.28515625" style="39" hidden="1"/>
    <col min="4878" max="4878" width="5.5703125" style="39" hidden="1"/>
    <col min="4879" max="4879" width="5.7109375" style="39" hidden="1"/>
    <col min="4880" max="5120" width="9.140625" style="39" hidden="1"/>
    <col min="5121" max="5121" width="4.42578125" style="39" hidden="1"/>
    <col min="5122" max="5122" width="17.28515625" style="39" hidden="1"/>
    <col min="5123" max="5123" width="1.7109375" style="39" hidden="1"/>
    <col min="5124" max="5124" width="14.140625" style="39" hidden="1"/>
    <col min="5125" max="5125" width="2.5703125" style="39" hidden="1"/>
    <col min="5126" max="5127" width="11.28515625" style="39" hidden="1"/>
    <col min="5128" max="5128" width="12.28515625" style="39" hidden="1"/>
    <col min="5129" max="5133" width="11.28515625" style="39" hidden="1"/>
    <col min="5134" max="5134" width="5.5703125" style="39" hidden="1"/>
    <col min="5135" max="5135" width="5.7109375" style="39" hidden="1"/>
    <col min="5136" max="5376" width="9.140625" style="39" hidden="1"/>
    <col min="5377" max="5377" width="4.42578125" style="39" hidden="1"/>
    <col min="5378" max="5378" width="17.28515625" style="39" hidden="1"/>
    <col min="5379" max="5379" width="1.7109375" style="39" hidden="1"/>
    <col min="5380" max="5380" width="14.140625" style="39" hidden="1"/>
    <col min="5381" max="5381" width="2.5703125" style="39" hidden="1"/>
    <col min="5382" max="5383" width="11.28515625" style="39" hidden="1"/>
    <col min="5384" max="5384" width="12.28515625" style="39" hidden="1"/>
    <col min="5385" max="5389" width="11.28515625" style="39" hidden="1"/>
    <col min="5390" max="5390" width="5.5703125" style="39" hidden="1"/>
    <col min="5391" max="5391" width="5.7109375" style="39" hidden="1"/>
    <col min="5392" max="5632" width="9.140625" style="39" hidden="1"/>
    <col min="5633" max="5633" width="4.42578125" style="39" hidden="1"/>
    <col min="5634" max="5634" width="17.28515625" style="39" hidden="1"/>
    <col min="5635" max="5635" width="1.7109375" style="39" hidden="1"/>
    <col min="5636" max="5636" width="14.140625" style="39" hidden="1"/>
    <col min="5637" max="5637" width="2.5703125" style="39" hidden="1"/>
    <col min="5638" max="5639" width="11.28515625" style="39" hidden="1"/>
    <col min="5640" max="5640" width="12.28515625" style="39" hidden="1"/>
    <col min="5641" max="5645" width="11.28515625" style="39" hidden="1"/>
    <col min="5646" max="5646" width="5.5703125" style="39" hidden="1"/>
    <col min="5647" max="5647" width="5.7109375" style="39" hidden="1"/>
    <col min="5648" max="5888" width="9.140625" style="39" hidden="1"/>
    <col min="5889" max="5889" width="4.42578125" style="39" hidden="1"/>
    <col min="5890" max="5890" width="17.28515625" style="39" hidden="1"/>
    <col min="5891" max="5891" width="1.7109375" style="39" hidden="1"/>
    <col min="5892" max="5892" width="14.140625" style="39" hidden="1"/>
    <col min="5893" max="5893" width="2.5703125" style="39" hidden="1"/>
    <col min="5894" max="5895" width="11.28515625" style="39" hidden="1"/>
    <col min="5896" max="5896" width="12.28515625" style="39" hidden="1"/>
    <col min="5897" max="5901" width="11.28515625" style="39" hidden="1"/>
    <col min="5902" max="5902" width="5.5703125" style="39" hidden="1"/>
    <col min="5903" max="5903" width="5.7109375" style="39" hidden="1"/>
    <col min="5904" max="6144" width="9.140625" style="39" hidden="1"/>
    <col min="6145" max="6145" width="4.42578125" style="39" hidden="1"/>
    <col min="6146" max="6146" width="17.28515625" style="39" hidden="1"/>
    <col min="6147" max="6147" width="1.7109375" style="39" hidden="1"/>
    <col min="6148" max="6148" width="14.140625" style="39" hidden="1"/>
    <col min="6149" max="6149" width="2.5703125" style="39" hidden="1"/>
    <col min="6150" max="6151" width="11.28515625" style="39" hidden="1"/>
    <col min="6152" max="6152" width="12.28515625" style="39" hidden="1"/>
    <col min="6153" max="6157" width="11.28515625" style="39" hidden="1"/>
    <col min="6158" max="6158" width="5.5703125" style="39" hidden="1"/>
    <col min="6159" max="6159" width="5.7109375" style="39" hidden="1"/>
    <col min="6160" max="6400" width="9.140625" style="39" hidden="1"/>
    <col min="6401" max="6401" width="4.42578125" style="39" hidden="1"/>
    <col min="6402" max="6402" width="17.28515625" style="39" hidden="1"/>
    <col min="6403" max="6403" width="1.7109375" style="39" hidden="1"/>
    <col min="6404" max="6404" width="14.140625" style="39" hidden="1"/>
    <col min="6405" max="6405" width="2.5703125" style="39" hidden="1"/>
    <col min="6406" max="6407" width="11.28515625" style="39" hidden="1"/>
    <col min="6408" max="6408" width="12.28515625" style="39" hidden="1"/>
    <col min="6409" max="6413" width="11.28515625" style="39" hidden="1"/>
    <col min="6414" max="6414" width="5.5703125" style="39" hidden="1"/>
    <col min="6415" max="6415" width="5.7109375" style="39" hidden="1"/>
    <col min="6416" max="6656" width="9.140625" style="39" hidden="1"/>
    <col min="6657" max="6657" width="4.42578125" style="39" hidden="1"/>
    <col min="6658" max="6658" width="17.28515625" style="39" hidden="1"/>
    <col min="6659" max="6659" width="1.7109375" style="39" hidden="1"/>
    <col min="6660" max="6660" width="14.140625" style="39" hidden="1"/>
    <col min="6661" max="6661" width="2.5703125" style="39" hidden="1"/>
    <col min="6662" max="6663" width="11.28515625" style="39" hidden="1"/>
    <col min="6664" max="6664" width="12.28515625" style="39" hidden="1"/>
    <col min="6665" max="6669" width="11.28515625" style="39" hidden="1"/>
    <col min="6670" max="6670" width="5.5703125" style="39" hidden="1"/>
    <col min="6671" max="6671" width="5.7109375" style="39" hidden="1"/>
    <col min="6672" max="6912" width="9.140625" style="39" hidden="1"/>
    <col min="6913" max="6913" width="4.42578125" style="39" hidden="1"/>
    <col min="6914" max="6914" width="17.28515625" style="39" hidden="1"/>
    <col min="6915" max="6915" width="1.7109375" style="39" hidden="1"/>
    <col min="6916" max="6916" width="14.140625" style="39" hidden="1"/>
    <col min="6917" max="6917" width="2.5703125" style="39" hidden="1"/>
    <col min="6918" max="6919" width="11.28515625" style="39" hidden="1"/>
    <col min="6920" max="6920" width="12.28515625" style="39" hidden="1"/>
    <col min="6921" max="6925" width="11.28515625" style="39" hidden="1"/>
    <col min="6926" max="6926" width="5.5703125" style="39" hidden="1"/>
    <col min="6927" max="6927" width="5.7109375" style="39" hidden="1"/>
    <col min="6928" max="7168" width="9.140625" style="39" hidden="1"/>
    <col min="7169" max="7169" width="4.42578125" style="39" hidden="1"/>
    <col min="7170" max="7170" width="17.28515625" style="39" hidden="1"/>
    <col min="7171" max="7171" width="1.7109375" style="39" hidden="1"/>
    <col min="7172" max="7172" width="14.140625" style="39" hidden="1"/>
    <col min="7173" max="7173" width="2.5703125" style="39" hidden="1"/>
    <col min="7174" max="7175" width="11.28515625" style="39" hidden="1"/>
    <col min="7176" max="7176" width="12.28515625" style="39" hidden="1"/>
    <col min="7177" max="7181" width="11.28515625" style="39" hidden="1"/>
    <col min="7182" max="7182" width="5.5703125" style="39" hidden="1"/>
    <col min="7183" max="7183" width="5.7109375" style="39" hidden="1"/>
    <col min="7184" max="7424" width="9.140625" style="39" hidden="1"/>
    <col min="7425" max="7425" width="4.42578125" style="39" hidden="1"/>
    <col min="7426" max="7426" width="17.28515625" style="39" hidden="1"/>
    <col min="7427" max="7427" width="1.7109375" style="39" hidden="1"/>
    <col min="7428" max="7428" width="14.140625" style="39" hidden="1"/>
    <col min="7429" max="7429" width="2.5703125" style="39" hidden="1"/>
    <col min="7430" max="7431" width="11.28515625" style="39" hidden="1"/>
    <col min="7432" max="7432" width="12.28515625" style="39" hidden="1"/>
    <col min="7433" max="7437" width="11.28515625" style="39" hidden="1"/>
    <col min="7438" max="7438" width="5.5703125" style="39" hidden="1"/>
    <col min="7439" max="7439" width="5.7109375" style="39" hidden="1"/>
    <col min="7440" max="7680" width="9.140625" style="39" hidden="1"/>
    <col min="7681" max="7681" width="4.42578125" style="39" hidden="1"/>
    <col min="7682" max="7682" width="17.28515625" style="39" hidden="1"/>
    <col min="7683" max="7683" width="1.7109375" style="39" hidden="1"/>
    <col min="7684" max="7684" width="14.140625" style="39" hidden="1"/>
    <col min="7685" max="7685" width="2.5703125" style="39" hidden="1"/>
    <col min="7686" max="7687" width="11.28515625" style="39" hidden="1"/>
    <col min="7688" max="7688" width="12.28515625" style="39" hidden="1"/>
    <col min="7689" max="7693" width="11.28515625" style="39" hidden="1"/>
    <col min="7694" max="7694" width="5.5703125" style="39" hidden="1"/>
    <col min="7695" max="7695" width="5.7109375" style="39" hidden="1"/>
    <col min="7696" max="7936" width="9.140625" style="39" hidden="1"/>
    <col min="7937" max="7937" width="4.42578125" style="39" hidden="1"/>
    <col min="7938" max="7938" width="17.28515625" style="39" hidden="1"/>
    <col min="7939" max="7939" width="1.7109375" style="39" hidden="1"/>
    <col min="7940" max="7940" width="14.140625" style="39" hidden="1"/>
    <col min="7941" max="7941" width="2.5703125" style="39" hidden="1"/>
    <col min="7942" max="7943" width="11.28515625" style="39" hidden="1"/>
    <col min="7944" max="7944" width="12.28515625" style="39" hidden="1"/>
    <col min="7945" max="7949" width="11.28515625" style="39" hidden="1"/>
    <col min="7950" max="7950" width="5.5703125" style="39" hidden="1"/>
    <col min="7951" max="7951" width="5.7109375" style="39" hidden="1"/>
    <col min="7952" max="8192" width="9.140625" style="39" hidden="1"/>
    <col min="8193" max="8193" width="4.42578125" style="39" hidden="1"/>
    <col min="8194" max="8194" width="17.28515625" style="39" hidden="1"/>
    <col min="8195" max="8195" width="1.7109375" style="39" hidden="1"/>
    <col min="8196" max="8196" width="14.140625" style="39" hidden="1"/>
    <col min="8197" max="8197" width="2.5703125" style="39" hidden="1"/>
    <col min="8198" max="8199" width="11.28515625" style="39" hidden="1"/>
    <col min="8200" max="8200" width="12.28515625" style="39" hidden="1"/>
    <col min="8201" max="8205" width="11.28515625" style="39" hidden="1"/>
    <col min="8206" max="8206" width="5.5703125" style="39" hidden="1"/>
    <col min="8207" max="8207" width="5.7109375" style="39" hidden="1"/>
    <col min="8208" max="8448" width="9.140625" style="39" hidden="1"/>
    <col min="8449" max="8449" width="4.42578125" style="39" hidden="1"/>
    <col min="8450" max="8450" width="17.28515625" style="39" hidden="1"/>
    <col min="8451" max="8451" width="1.7109375" style="39" hidden="1"/>
    <col min="8452" max="8452" width="14.140625" style="39" hidden="1"/>
    <col min="8453" max="8453" width="2.5703125" style="39" hidden="1"/>
    <col min="8454" max="8455" width="11.28515625" style="39" hidden="1"/>
    <col min="8456" max="8456" width="12.28515625" style="39" hidden="1"/>
    <col min="8457" max="8461" width="11.28515625" style="39" hidden="1"/>
    <col min="8462" max="8462" width="5.5703125" style="39" hidden="1"/>
    <col min="8463" max="8463" width="5.7109375" style="39" hidden="1"/>
    <col min="8464" max="8704" width="9.140625" style="39" hidden="1"/>
    <col min="8705" max="8705" width="4.42578125" style="39" hidden="1"/>
    <col min="8706" max="8706" width="17.28515625" style="39" hidden="1"/>
    <col min="8707" max="8707" width="1.7109375" style="39" hidden="1"/>
    <col min="8708" max="8708" width="14.140625" style="39" hidden="1"/>
    <col min="8709" max="8709" width="2.5703125" style="39" hidden="1"/>
    <col min="8710" max="8711" width="11.28515625" style="39" hidden="1"/>
    <col min="8712" max="8712" width="12.28515625" style="39" hidden="1"/>
    <col min="8713" max="8717" width="11.28515625" style="39" hidden="1"/>
    <col min="8718" max="8718" width="5.5703125" style="39" hidden="1"/>
    <col min="8719" max="8719" width="5.7109375" style="39" hidden="1"/>
    <col min="8720" max="8960" width="9.140625" style="39" hidden="1"/>
    <col min="8961" max="8961" width="4.42578125" style="39" hidden="1"/>
    <col min="8962" max="8962" width="17.28515625" style="39" hidden="1"/>
    <col min="8963" max="8963" width="1.7109375" style="39" hidden="1"/>
    <col min="8964" max="8964" width="14.140625" style="39" hidden="1"/>
    <col min="8965" max="8965" width="2.5703125" style="39" hidden="1"/>
    <col min="8966" max="8967" width="11.28515625" style="39" hidden="1"/>
    <col min="8968" max="8968" width="12.28515625" style="39" hidden="1"/>
    <col min="8969" max="8973" width="11.28515625" style="39" hidden="1"/>
    <col min="8974" max="8974" width="5.5703125" style="39" hidden="1"/>
    <col min="8975" max="8975" width="5.7109375" style="39" hidden="1"/>
    <col min="8976" max="9216" width="9.140625" style="39" hidden="1"/>
    <col min="9217" max="9217" width="4.42578125" style="39" hidden="1"/>
    <col min="9218" max="9218" width="17.28515625" style="39" hidden="1"/>
    <col min="9219" max="9219" width="1.7109375" style="39" hidden="1"/>
    <col min="9220" max="9220" width="14.140625" style="39" hidden="1"/>
    <col min="9221" max="9221" width="2.5703125" style="39" hidden="1"/>
    <col min="9222" max="9223" width="11.28515625" style="39" hidden="1"/>
    <col min="9224" max="9224" width="12.28515625" style="39" hidden="1"/>
    <col min="9225" max="9229" width="11.28515625" style="39" hidden="1"/>
    <col min="9230" max="9230" width="5.5703125" style="39" hidden="1"/>
    <col min="9231" max="9231" width="5.7109375" style="39" hidden="1"/>
    <col min="9232" max="9472" width="9.140625" style="39" hidden="1"/>
    <col min="9473" max="9473" width="4.42578125" style="39" hidden="1"/>
    <col min="9474" max="9474" width="17.28515625" style="39" hidden="1"/>
    <col min="9475" max="9475" width="1.7109375" style="39" hidden="1"/>
    <col min="9476" max="9476" width="14.140625" style="39" hidden="1"/>
    <col min="9477" max="9477" width="2.5703125" style="39" hidden="1"/>
    <col min="9478" max="9479" width="11.28515625" style="39" hidden="1"/>
    <col min="9480" max="9480" width="12.28515625" style="39" hidden="1"/>
    <col min="9481" max="9485" width="11.28515625" style="39" hidden="1"/>
    <col min="9486" max="9486" width="5.5703125" style="39" hidden="1"/>
    <col min="9487" max="9487" width="5.7109375" style="39" hidden="1"/>
    <col min="9488" max="9728" width="9.140625" style="39" hidden="1"/>
    <col min="9729" max="9729" width="4.42578125" style="39" hidden="1"/>
    <col min="9730" max="9730" width="17.28515625" style="39" hidden="1"/>
    <col min="9731" max="9731" width="1.7109375" style="39" hidden="1"/>
    <col min="9732" max="9732" width="14.140625" style="39" hidden="1"/>
    <col min="9733" max="9733" width="2.5703125" style="39" hidden="1"/>
    <col min="9734" max="9735" width="11.28515625" style="39" hidden="1"/>
    <col min="9736" max="9736" width="12.28515625" style="39" hidden="1"/>
    <col min="9737" max="9741" width="11.28515625" style="39" hidden="1"/>
    <col min="9742" max="9742" width="5.5703125" style="39" hidden="1"/>
    <col min="9743" max="9743" width="5.7109375" style="39" hidden="1"/>
    <col min="9744" max="9984" width="9.140625" style="39" hidden="1"/>
    <col min="9985" max="9985" width="4.42578125" style="39" hidden="1"/>
    <col min="9986" max="9986" width="17.28515625" style="39" hidden="1"/>
    <col min="9987" max="9987" width="1.7109375" style="39" hidden="1"/>
    <col min="9988" max="9988" width="14.140625" style="39" hidden="1"/>
    <col min="9989" max="9989" width="2.5703125" style="39" hidden="1"/>
    <col min="9990" max="9991" width="11.28515625" style="39" hidden="1"/>
    <col min="9992" max="9992" width="12.28515625" style="39" hidden="1"/>
    <col min="9993" max="9997" width="11.28515625" style="39" hidden="1"/>
    <col min="9998" max="9998" width="5.5703125" style="39" hidden="1"/>
    <col min="9999" max="9999" width="5.7109375" style="39" hidden="1"/>
    <col min="10000" max="10240" width="9.140625" style="39" hidden="1"/>
    <col min="10241" max="10241" width="4.42578125" style="39" hidden="1"/>
    <col min="10242" max="10242" width="17.28515625" style="39" hidden="1"/>
    <col min="10243" max="10243" width="1.7109375" style="39" hidden="1"/>
    <col min="10244" max="10244" width="14.140625" style="39" hidden="1"/>
    <col min="10245" max="10245" width="2.5703125" style="39" hidden="1"/>
    <col min="10246" max="10247" width="11.28515625" style="39" hidden="1"/>
    <col min="10248" max="10248" width="12.28515625" style="39" hidden="1"/>
    <col min="10249" max="10253" width="11.28515625" style="39" hidden="1"/>
    <col min="10254" max="10254" width="5.5703125" style="39" hidden="1"/>
    <col min="10255" max="10255" width="5.7109375" style="39" hidden="1"/>
    <col min="10256" max="10496" width="9.140625" style="39" hidden="1"/>
    <col min="10497" max="10497" width="4.42578125" style="39" hidden="1"/>
    <col min="10498" max="10498" width="17.28515625" style="39" hidden="1"/>
    <col min="10499" max="10499" width="1.7109375" style="39" hidden="1"/>
    <col min="10500" max="10500" width="14.140625" style="39" hidden="1"/>
    <col min="10501" max="10501" width="2.5703125" style="39" hidden="1"/>
    <col min="10502" max="10503" width="11.28515625" style="39" hidden="1"/>
    <col min="10504" max="10504" width="12.28515625" style="39" hidden="1"/>
    <col min="10505" max="10509" width="11.28515625" style="39" hidden="1"/>
    <col min="10510" max="10510" width="5.5703125" style="39" hidden="1"/>
    <col min="10511" max="10511" width="5.7109375" style="39" hidden="1"/>
    <col min="10512" max="10752" width="9.140625" style="39" hidden="1"/>
    <col min="10753" max="10753" width="4.42578125" style="39" hidden="1"/>
    <col min="10754" max="10754" width="17.28515625" style="39" hidden="1"/>
    <col min="10755" max="10755" width="1.7109375" style="39" hidden="1"/>
    <col min="10756" max="10756" width="14.140625" style="39" hidden="1"/>
    <col min="10757" max="10757" width="2.5703125" style="39" hidden="1"/>
    <col min="10758" max="10759" width="11.28515625" style="39" hidden="1"/>
    <col min="10760" max="10760" width="12.28515625" style="39" hidden="1"/>
    <col min="10761" max="10765" width="11.28515625" style="39" hidden="1"/>
    <col min="10766" max="10766" width="5.5703125" style="39" hidden="1"/>
    <col min="10767" max="10767" width="5.7109375" style="39" hidden="1"/>
    <col min="10768" max="11008" width="9.140625" style="39" hidden="1"/>
    <col min="11009" max="11009" width="4.42578125" style="39" hidden="1"/>
    <col min="11010" max="11010" width="17.28515625" style="39" hidden="1"/>
    <col min="11011" max="11011" width="1.7109375" style="39" hidden="1"/>
    <col min="11012" max="11012" width="14.140625" style="39" hidden="1"/>
    <col min="11013" max="11013" width="2.5703125" style="39" hidden="1"/>
    <col min="11014" max="11015" width="11.28515625" style="39" hidden="1"/>
    <col min="11016" max="11016" width="12.28515625" style="39" hidden="1"/>
    <col min="11017" max="11021" width="11.28515625" style="39" hidden="1"/>
    <col min="11022" max="11022" width="5.5703125" style="39" hidden="1"/>
    <col min="11023" max="11023" width="5.7109375" style="39" hidden="1"/>
    <col min="11024" max="11264" width="9.140625" style="39" hidden="1"/>
    <col min="11265" max="11265" width="4.42578125" style="39" hidden="1"/>
    <col min="11266" max="11266" width="17.28515625" style="39" hidden="1"/>
    <col min="11267" max="11267" width="1.7109375" style="39" hidden="1"/>
    <col min="11268" max="11268" width="14.140625" style="39" hidden="1"/>
    <col min="11269" max="11269" width="2.5703125" style="39" hidden="1"/>
    <col min="11270" max="11271" width="11.28515625" style="39" hidden="1"/>
    <col min="11272" max="11272" width="12.28515625" style="39" hidden="1"/>
    <col min="11273" max="11277" width="11.28515625" style="39" hidden="1"/>
    <col min="11278" max="11278" width="5.5703125" style="39" hidden="1"/>
    <col min="11279" max="11279" width="5.7109375" style="39" hidden="1"/>
    <col min="11280" max="11520" width="9.140625" style="39" hidden="1"/>
    <col min="11521" max="11521" width="4.42578125" style="39" hidden="1"/>
    <col min="11522" max="11522" width="17.28515625" style="39" hidden="1"/>
    <col min="11523" max="11523" width="1.7109375" style="39" hidden="1"/>
    <col min="11524" max="11524" width="14.140625" style="39" hidden="1"/>
    <col min="11525" max="11525" width="2.5703125" style="39" hidden="1"/>
    <col min="11526" max="11527" width="11.28515625" style="39" hidden="1"/>
    <col min="11528" max="11528" width="12.28515625" style="39" hidden="1"/>
    <col min="11529" max="11533" width="11.28515625" style="39" hidden="1"/>
    <col min="11534" max="11534" width="5.5703125" style="39" hidden="1"/>
    <col min="11535" max="11535" width="5.7109375" style="39" hidden="1"/>
    <col min="11536" max="11776" width="9.140625" style="39" hidden="1"/>
    <col min="11777" max="11777" width="4.42578125" style="39" hidden="1"/>
    <col min="11778" max="11778" width="17.28515625" style="39" hidden="1"/>
    <col min="11779" max="11779" width="1.7109375" style="39" hidden="1"/>
    <col min="11780" max="11780" width="14.140625" style="39" hidden="1"/>
    <col min="11781" max="11781" width="2.5703125" style="39" hidden="1"/>
    <col min="11782" max="11783" width="11.28515625" style="39" hidden="1"/>
    <col min="11784" max="11784" width="12.28515625" style="39" hidden="1"/>
    <col min="11785" max="11789" width="11.28515625" style="39" hidden="1"/>
    <col min="11790" max="11790" width="5.5703125" style="39" hidden="1"/>
    <col min="11791" max="11791" width="5.7109375" style="39" hidden="1"/>
    <col min="11792" max="12032" width="9.140625" style="39" hidden="1"/>
    <col min="12033" max="12033" width="4.42578125" style="39" hidden="1"/>
    <col min="12034" max="12034" width="17.28515625" style="39" hidden="1"/>
    <col min="12035" max="12035" width="1.7109375" style="39" hidden="1"/>
    <col min="12036" max="12036" width="14.140625" style="39" hidden="1"/>
    <col min="12037" max="12037" width="2.5703125" style="39" hidden="1"/>
    <col min="12038" max="12039" width="11.28515625" style="39" hidden="1"/>
    <col min="12040" max="12040" width="12.28515625" style="39" hidden="1"/>
    <col min="12041" max="12045" width="11.28515625" style="39" hidden="1"/>
    <col min="12046" max="12046" width="5.5703125" style="39" hidden="1"/>
    <col min="12047" max="12047" width="5.7109375" style="39" hidden="1"/>
    <col min="12048" max="12288" width="9.140625" style="39" hidden="1"/>
    <col min="12289" max="12289" width="4.42578125" style="39" hidden="1"/>
    <col min="12290" max="12290" width="17.28515625" style="39" hidden="1"/>
    <col min="12291" max="12291" width="1.7109375" style="39" hidden="1"/>
    <col min="12292" max="12292" width="14.140625" style="39" hidden="1"/>
    <col min="12293" max="12293" width="2.5703125" style="39" hidden="1"/>
    <col min="12294" max="12295" width="11.28515625" style="39" hidden="1"/>
    <col min="12296" max="12296" width="12.28515625" style="39" hidden="1"/>
    <col min="12297" max="12301" width="11.28515625" style="39" hidden="1"/>
    <col min="12302" max="12302" width="5.5703125" style="39" hidden="1"/>
    <col min="12303" max="12303" width="5.7109375" style="39" hidden="1"/>
    <col min="12304" max="12544" width="9.140625" style="39" hidden="1"/>
    <col min="12545" max="12545" width="4.42578125" style="39" hidden="1"/>
    <col min="12546" max="12546" width="17.28515625" style="39" hidden="1"/>
    <col min="12547" max="12547" width="1.7109375" style="39" hidden="1"/>
    <col min="12548" max="12548" width="14.140625" style="39" hidden="1"/>
    <col min="12549" max="12549" width="2.5703125" style="39" hidden="1"/>
    <col min="12550" max="12551" width="11.28515625" style="39" hidden="1"/>
    <col min="12552" max="12552" width="12.28515625" style="39" hidden="1"/>
    <col min="12553" max="12557" width="11.28515625" style="39" hidden="1"/>
    <col min="12558" max="12558" width="5.5703125" style="39" hidden="1"/>
    <col min="12559" max="12559" width="5.7109375" style="39" hidden="1"/>
    <col min="12560" max="12800" width="9.140625" style="39" hidden="1"/>
    <col min="12801" max="12801" width="4.42578125" style="39" hidden="1"/>
    <col min="12802" max="12802" width="17.28515625" style="39" hidden="1"/>
    <col min="12803" max="12803" width="1.7109375" style="39" hidden="1"/>
    <col min="12804" max="12804" width="14.140625" style="39" hidden="1"/>
    <col min="12805" max="12805" width="2.5703125" style="39" hidden="1"/>
    <col min="12806" max="12807" width="11.28515625" style="39" hidden="1"/>
    <col min="12808" max="12808" width="12.28515625" style="39" hidden="1"/>
    <col min="12809" max="12813" width="11.28515625" style="39" hidden="1"/>
    <col min="12814" max="12814" width="5.5703125" style="39" hidden="1"/>
    <col min="12815" max="12815" width="5.7109375" style="39" hidden="1"/>
    <col min="12816" max="13056" width="9.140625" style="39" hidden="1"/>
    <col min="13057" max="13057" width="4.42578125" style="39" hidden="1"/>
    <col min="13058" max="13058" width="17.28515625" style="39" hidden="1"/>
    <col min="13059" max="13059" width="1.7109375" style="39" hidden="1"/>
    <col min="13060" max="13060" width="14.140625" style="39" hidden="1"/>
    <col min="13061" max="13061" width="2.5703125" style="39" hidden="1"/>
    <col min="13062" max="13063" width="11.28515625" style="39" hidden="1"/>
    <col min="13064" max="13064" width="12.28515625" style="39" hidden="1"/>
    <col min="13065" max="13069" width="11.28515625" style="39" hidden="1"/>
    <col min="13070" max="13070" width="5.5703125" style="39" hidden="1"/>
    <col min="13071" max="13071" width="5.7109375" style="39" hidden="1"/>
    <col min="13072" max="13312" width="9.140625" style="39" hidden="1"/>
    <col min="13313" max="13313" width="4.42578125" style="39" hidden="1"/>
    <col min="13314" max="13314" width="17.28515625" style="39" hidden="1"/>
    <col min="13315" max="13315" width="1.7109375" style="39" hidden="1"/>
    <col min="13316" max="13316" width="14.140625" style="39" hidden="1"/>
    <col min="13317" max="13317" width="2.5703125" style="39" hidden="1"/>
    <col min="13318" max="13319" width="11.28515625" style="39" hidden="1"/>
    <col min="13320" max="13320" width="12.28515625" style="39" hidden="1"/>
    <col min="13321" max="13325" width="11.28515625" style="39" hidden="1"/>
    <col min="13326" max="13326" width="5.5703125" style="39" hidden="1"/>
    <col min="13327" max="13327" width="5.7109375" style="39" hidden="1"/>
    <col min="13328" max="13568" width="9.140625" style="39" hidden="1"/>
    <col min="13569" max="13569" width="4.42578125" style="39" hidden="1"/>
    <col min="13570" max="13570" width="17.28515625" style="39" hidden="1"/>
    <col min="13571" max="13571" width="1.7109375" style="39" hidden="1"/>
    <col min="13572" max="13572" width="14.140625" style="39" hidden="1"/>
    <col min="13573" max="13573" width="2.5703125" style="39" hidden="1"/>
    <col min="13574" max="13575" width="11.28515625" style="39" hidden="1"/>
    <col min="13576" max="13576" width="12.28515625" style="39" hidden="1"/>
    <col min="13577" max="13581" width="11.28515625" style="39" hidden="1"/>
    <col min="13582" max="13582" width="5.5703125" style="39" hidden="1"/>
    <col min="13583" max="13583" width="5.7109375" style="39" hidden="1"/>
    <col min="13584" max="13824" width="9.140625" style="39" hidden="1"/>
    <col min="13825" max="13825" width="4.42578125" style="39" hidden="1"/>
    <col min="13826" max="13826" width="17.28515625" style="39" hidden="1"/>
    <col min="13827" max="13827" width="1.7109375" style="39" hidden="1"/>
    <col min="13828" max="13828" width="14.140625" style="39" hidden="1"/>
    <col min="13829" max="13829" width="2.5703125" style="39" hidden="1"/>
    <col min="13830" max="13831" width="11.28515625" style="39" hidden="1"/>
    <col min="13832" max="13832" width="12.28515625" style="39" hidden="1"/>
    <col min="13833" max="13837" width="11.28515625" style="39" hidden="1"/>
    <col min="13838" max="13838" width="5.5703125" style="39" hidden="1"/>
    <col min="13839" max="13839" width="5.7109375" style="39" hidden="1"/>
    <col min="13840" max="14080" width="9.140625" style="39" hidden="1"/>
    <col min="14081" max="14081" width="4.42578125" style="39" hidden="1"/>
    <col min="14082" max="14082" width="17.28515625" style="39" hidden="1"/>
    <col min="14083" max="14083" width="1.7109375" style="39" hidden="1"/>
    <col min="14084" max="14084" width="14.140625" style="39" hidden="1"/>
    <col min="14085" max="14085" width="2.5703125" style="39" hidden="1"/>
    <col min="14086" max="14087" width="11.28515625" style="39" hidden="1"/>
    <col min="14088" max="14088" width="12.28515625" style="39" hidden="1"/>
    <col min="14089" max="14093" width="11.28515625" style="39" hidden="1"/>
    <col min="14094" max="14094" width="5.5703125" style="39" hidden="1"/>
    <col min="14095" max="14095" width="5.7109375" style="39" hidden="1"/>
    <col min="14096" max="14336" width="9.140625" style="39" hidden="1"/>
    <col min="14337" max="14337" width="4.42578125" style="39" hidden="1"/>
    <col min="14338" max="14338" width="17.28515625" style="39" hidden="1"/>
    <col min="14339" max="14339" width="1.7109375" style="39" hidden="1"/>
    <col min="14340" max="14340" width="14.140625" style="39" hidden="1"/>
    <col min="14341" max="14341" width="2.5703125" style="39" hidden="1"/>
    <col min="14342" max="14343" width="11.28515625" style="39" hidden="1"/>
    <col min="14344" max="14344" width="12.28515625" style="39" hidden="1"/>
    <col min="14345" max="14349" width="11.28515625" style="39" hidden="1"/>
    <col min="14350" max="14350" width="5.5703125" style="39" hidden="1"/>
    <col min="14351" max="14351" width="5.7109375" style="39" hidden="1"/>
    <col min="14352" max="14592" width="9.140625" style="39" hidden="1"/>
    <col min="14593" max="14593" width="4.42578125" style="39" hidden="1"/>
    <col min="14594" max="14594" width="17.28515625" style="39" hidden="1"/>
    <col min="14595" max="14595" width="1.7109375" style="39" hidden="1"/>
    <col min="14596" max="14596" width="14.140625" style="39" hidden="1"/>
    <col min="14597" max="14597" width="2.5703125" style="39" hidden="1"/>
    <col min="14598" max="14599" width="11.28515625" style="39" hidden="1"/>
    <col min="14600" max="14600" width="12.28515625" style="39" hidden="1"/>
    <col min="14601" max="14605" width="11.28515625" style="39" hidden="1"/>
    <col min="14606" max="14606" width="5.5703125" style="39" hidden="1"/>
    <col min="14607" max="14607" width="5.7109375" style="39" hidden="1"/>
    <col min="14608" max="14848" width="9.140625" style="39" hidden="1"/>
    <col min="14849" max="14849" width="4.42578125" style="39" hidden="1"/>
    <col min="14850" max="14850" width="17.28515625" style="39" hidden="1"/>
    <col min="14851" max="14851" width="1.7109375" style="39" hidden="1"/>
    <col min="14852" max="14852" width="14.140625" style="39" hidden="1"/>
    <col min="14853" max="14853" width="2.5703125" style="39" hidden="1"/>
    <col min="14854" max="14855" width="11.28515625" style="39" hidden="1"/>
    <col min="14856" max="14856" width="12.28515625" style="39" hidden="1"/>
    <col min="14857" max="14861" width="11.28515625" style="39" hidden="1"/>
    <col min="14862" max="14862" width="5.5703125" style="39" hidden="1"/>
    <col min="14863" max="14863" width="5.7109375" style="39" hidden="1"/>
    <col min="14864" max="15104" width="9.140625" style="39" hidden="1"/>
    <col min="15105" max="15105" width="4.42578125" style="39" hidden="1"/>
    <col min="15106" max="15106" width="17.28515625" style="39" hidden="1"/>
    <col min="15107" max="15107" width="1.7109375" style="39" hidden="1"/>
    <col min="15108" max="15108" width="14.140625" style="39" hidden="1"/>
    <col min="15109" max="15109" width="2.5703125" style="39" hidden="1"/>
    <col min="15110" max="15111" width="11.28515625" style="39" hidden="1"/>
    <col min="15112" max="15112" width="12.28515625" style="39" hidden="1"/>
    <col min="15113" max="15117" width="11.28515625" style="39" hidden="1"/>
    <col min="15118" max="15118" width="5.5703125" style="39" hidden="1"/>
    <col min="15119" max="15119" width="5.7109375" style="39" hidden="1"/>
    <col min="15120" max="15360" width="9.140625" style="39" hidden="1"/>
    <col min="15361" max="15361" width="4.42578125" style="39" hidden="1"/>
    <col min="15362" max="15362" width="17.28515625" style="39" hidden="1"/>
    <col min="15363" max="15363" width="1.7109375" style="39" hidden="1"/>
    <col min="15364" max="15364" width="14.140625" style="39" hidden="1"/>
    <col min="15365" max="15365" width="2.5703125" style="39" hidden="1"/>
    <col min="15366" max="15367" width="11.28515625" style="39" hidden="1"/>
    <col min="15368" max="15368" width="12.28515625" style="39" hidden="1"/>
    <col min="15369" max="15373" width="11.28515625" style="39" hidden="1"/>
    <col min="15374" max="15374" width="5.5703125" style="39" hidden="1"/>
    <col min="15375" max="15375" width="5.7109375" style="39" hidden="1"/>
    <col min="15376" max="15616" width="9.140625" style="39" hidden="1"/>
    <col min="15617" max="15617" width="4.42578125" style="39" hidden="1"/>
    <col min="15618" max="15618" width="17.28515625" style="39" hidden="1"/>
    <col min="15619" max="15619" width="1.7109375" style="39" hidden="1"/>
    <col min="15620" max="15620" width="14.140625" style="39" hidden="1"/>
    <col min="15621" max="15621" width="2.5703125" style="39" hidden="1"/>
    <col min="15622" max="15623" width="11.28515625" style="39" hidden="1"/>
    <col min="15624" max="15624" width="12.28515625" style="39" hidden="1"/>
    <col min="15625" max="15629" width="11.28515625" style="39" hidden="1"/>
    <col min="15630" max="15630" width="5.5703125" style="39" hidden="1"/>
    <col min="15631" max="15631" width="5.7109375" style="39" hidden="1"/>
    <col min="15632" max="15872" width="9.140625" style="39" hidden="1"/>
    <col min="15873" max="15873" width="4.42578125" style="39" hidden="1"/>
    <col min="15874" max="15874" width="17.28515625" style="39" hidden="1"/>
    <col min="15875" max="15875" width="1.7109375" style="39" hidden="1"/>
    <col min="15876" max="15876" width="14.140625" style="39" hidden="1"/>
    <col min="15877" max="15877" width="2.5703125" style="39" hidden="1"/>
    <col min="15878" max="15879" width="11.28515625" style="39" hidden="1"/>
    <col min="15880" max="15880" width="12.28515625" style="39" hidden="1"/>
    <col min="15881" max="15885" width="11.28515625" style="39" hidden="1"/>
    <col min="15886" max="15886" width="5.5703125" style="39" hidden="1"/>
    <col min="15887" max="15887" width="5.7109375" style="39" hidden="1"/>
    <col min="15888" max="16128" width="9.140625" style="39" hidden="1"/>
    <col min="16129" max="16129" width="4.42578125" style="39" hidden="1"/>
    <col min="16130" max="16130" width="17.28515625" style="39" hidden="1"/>
    <col min="16131" max="16131" width="1.7109375" style="39" hidden="1"/>
    <col min="16132" max="16132" width="14.140625" style="39" hidden="1"/>
    <col min="16133" max="16133" width="2.5703125" style="39" hidden="1"/>
    <col min="16134" max="16135" width="11.28515625" style="39" hidden="1"/>
    <col min="16136" max="16136" width="12.28515625" style="39" hidden="1"/>
    <col min="16137" max="16141" width="11.28515625" style="39" hidden="1"/>
    <col min="16142" max="16142" width="5.5703125" style="39" hidden="1"/>
    <col min="16143" max="16143" width="5.7109375" style="39" hidden="1"/>
    <col min="16144" max="16384" width="9.140625" style="39" hidden="1"/>
  </cols>
  <sheetData>
    <row r="2" spans="1:17" s="25" customFormat="1" ht="58.15" customHeight="1" x14ac:dyDescent="0.25">
      <c r="A2" s="26"/>
      <c r="B2" s="52" t="str">
        <f>MAT01_ConceptDesign!B2</f>
        <v>BREEAM UK NC (2018) Mat 01/02 Results Submission Tool</v>
      </c>
      <c r="C2" s="52"/>
      <c r="D2" s="52"/>
      <c r="E2" s="52"/>
      <c r="F2" s="52"/>
      <c r="G2" s="52"/>
      <c r="H2" s="52"/>
      <c r="I2" s="52"/>
      <c r="J2" s="52"/>
      <c r="K2" s="52"/>
      <c r="L2" s="52"/>
      <c r="M2" s="52"/>
      <c r="N2" s="52"/>
      <c r="O2" s="52"/>
      <c r="Q2" s="26"/>
    </row>
    <row r="3" spans="1:17" ht="15" x14ac:dyDescent="0.2">
      <c r="B3" s="40"/>
      <c r="C3" s="41"/>
      <c r="D3" s="41"/>
      <c r="E3" s="41"/>
      <c r="F3" s="41"/>
      <c r="G3" s="41"/>
      <c r="H3" s="41"/>
      <c r="I3" s="41"/>
      <c r="J3" s="41"/>
      <c r="K3" s="41"/>
      <c r="L3" s="41"/>
      <c r="M3" s="41"/>
      <c r="N3" s="41"/>
    </row>
    <row r="4" spans="1:17" ht="15" x14ac:dyDescent="0.25">
      <c r="B4" s="46" t="s">
        <v>71</v>
      </c>
      <c r="C4" s="42"/>
      <c r="D4" s="46" t="s">
        <v>72</v>
      </c>
      <c r="E4" s="43"/>
      <c r="F4" s="48" t="s">
        <v>73</v>
      </c>
      <c r="G4" s="47"/>
      <c r="H4" s="47"/>
      <c r="I4" s="47"/>
      <c r="J4" s="47"/>
      <c r="K4" s="47"/>
      <c r="L4" s="47"/>
      <c r="M4" s="47"/>
      <c r="N4" s="47"/>
    </row>
    <row r="6" spans="1:17" ht="15" x14ac:dyDescent="0.25">
      <c r="B6" s="44" t="s">
        <v>260</v>
      </c>
      <c r="C6" s="43"/>
      <c r="D6" s="45">
        <v>43185</v>
      </c>
      <c r="E6" s="43"/>
      <c r="F6" s="415" t="s">
        <v>74</v>
      </c>
      <c r="G6" s="415"/>
      <c r="H6" s="415"/>
      <c r="I6" s="415"/>
      <c r="J6" s="415"/>
      <c r="K6" s="415"/>
      <c r="L6" s="415"/>
      <c r="M6" s="415"/>
      <c r="N6" s="415"/>
    </row>
    <row r="7" spans="1:17" ht="34.9" customHeight="1" x14ac:dyDescent="0.25">
      <c r="B7" s="135">
        <v>1.5</v>
      </c>
      <c r="C7" s="43"/>
      <c r="D7" s="45">
        <v>43203</v>
      </c>
      <c r="E7" s="43"/>
      <c r="F7" s="414" t="s">
        <v>269</v>
      </c>
      <c r="G7" s="415"/>
      <c r="H7" s="415"/>
      <c r="I7" s="415"/>
      <c r="J7" s="415"/>
      <c r="K7" s="415"/>
      <c r="L7" s="415"/>
      <c r="M7" s="415"/>
      <c r="N7" s="415"/>
    </row>
    <row r="8" spans="1:17" ht="47.45" customHeight="1" x14ac:dyDescent="0.25">
      <c r="B8" s="135">
        <v>1.6</v>
      </c>
      <c r="C8" s="43"/>
      <c r="D8" s="45">
        <v>43220</v>
      </c>
      <c r="E8" s="43"/>
      <c r="F8" s="414" t="s">
        <v>270</v>
      </c>
      <c r="G8" s="415"/>
      <c r="H8" s="415"/>
      <c r="I8" s="415"/>
      <c r="J8" s="415"/>
      <c r="K8" s="415"/>
      <c r="L8" s="415"/>
      <c r="M8" s="415"/>
      <c r="N8" s="415"/>
    </row>
    <row r="9" spans="1:17" ht="19.149999999999999" customHeight="1" x14ac:dyDescent="0.25">
      <c r="B9" s="135">
        <v>1.7</v>
      </c>
      <c r="C9" s="43"/>
      <c r="D9" s="45">
        <v>43258</v>
      </c>
      <c r="E9" s="43"/>
      <c r="F9" s="414" t="s">
        <v>274</v>
      </c>
      <c r="G9" s="415"/>
      <c r="H9" s="415"/>
      <c r="I9" s="415"/>
      <c r="J9" s="415"/>
      <c r="K9" s="415"/>
      <c r="L9" s="415"/>
      <c r="M9" s="415"/>
      <c r="N9" s="415"/>
    </row>
    <row r="10" spans="1:17" ht="64.900000000000006" customHeight="1" x14ac:dyDescent="0.25">
      <c r="B10" s="135">
        <v>1.8</v>
      </c>
      <c r="C10" s="43"/>
      <c r="D10" s="45">
        <v>43311</v>
      </c>
      <c r="E10" s="43"/>
      <c r="F10" s="414" t="s">
        <v>275</v>
      </c>
      <c r="G10" s="415"/>
      <c r="H10" s="415"/>
      <c r="I10" s="415"/>
      <c r="J10" s="415"/>
      <c r="K10" s="415"/>
      <c r="L10" s="415"/>
      <c r="M10" s="415"/>
      <c r="N10" s="415"/>
    </row>
    <row r="11" spans="1:17" ht="48" customHeight="1" x14ac:dyDescent="0.25">
      <c r="B11" s="135">
        <v>1.9</v>
      </c>
      <c r="C11" s="43"/>
      <c r="D11" s="45">
        <v>43396</v>
      </c>
      <c r="E11" s="43"/>
      <c r="F11" s="414" t="s">
        <v>281</v>
      </c>
      <c r="G11" s="415"/>
      <c r="H11" s="415"/>
      <c r="I11" s="415"/>
      <c r="J11" s="415"/>
      <c r="K11" s="415"/>
      <c r="L11" s="415"/>
      <c r="M11" s="415"/>
      <c r="N11" s="415"/>
    </row>
    <row r="12" spans="1:17" ht="15" x14ac:dyDescent="0.25">
      <c r="B12" s="329" t="s">
        <v>328</v>
      </c>
      <c r="C12" s="43"/>
      <c r="D12" s="45">
        <v>43426</v>
      </c>
      <c r="E12" s="43"/>
      <c r="F12" s="414" t="s">
        <v>329</v>
      </c>
      <c r="G12" s="415"/>
      <c r="H12" s="415"/>
      <c r="I12" s="415"/>
      <c r="J12" s="415"/>
      <c r="K12" s="415"/>
      <c r="L12" s="415"/>
      <c r="M12" s="415"/>
      <c r="N12" s="415"/>
    </row>
  </sheetData>
  <sheetProtection algorithmName="SHA-512" hashValue="W9TkPhdCCEoS2S/WqyFBnpQZKC9kkDPj8oWH3/YcRlpQ97hYseuI4UAqVIBa7X1COke2fxeJY8VZ2XWtp2GaSg==" saltValue="kLKF2ee0A1Lt+fSAgFHebQ==" spinCount="100000" sheet="1" objects="1" scenarios="1" selectLockedCells="1" selectUnlockedCells="1"/>
  <mergeCells count="7">
    <mergeCell ref="F12:N12"/>
    <mergeCell ref="F11:N11"/>
    <mergeCell ref="F6:N6"/>
    <mergeCell ref="F7:N7"/>
    <mergeCell ref="F8:N8"/>
    <mergeCell ref="F9:N9"/>
    <mergeCell ref="F10:N10"/>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7279F-CB31-4AD3-BFAE-C850DF7CE426}">
  <dimension ref="A2:WVW6"/>
  <sheetViews>
    <sheetView showGridLines="0" zoomScale="50" zoomScaleNormal="50" workbookViewId="0">
      <selection activeCell="B3" sqref="B3"/>
    </sheetView>
  </sheetViews>
  <sheetFormatPr defaultColWidth="0" defaultRowHeight="12.75" x14ac:dyDescent="0.2"/>
  <cols>
    <col min="1" max="1" width="4.42578125" style="39" customWidth="1"/>
    <col min="2" max="2" width="17.28515625" style="39" customWidth="1"/>
    <col min="3" max="3" width="1.7109375" style="39" customWidth="1"/>
    <col min="4" max="4" width="14.140625" style="39" customWidth="1"/>
    <col min="5" max="5" width="2.5703125" style="39" customWidth="1"/>
    <col min="6" max="7" width="11.28515625" style="39" customWidth="1"/>
    <col min="8" max="8" width="12.28515625" style="39" customWidth="1"/>
    <col min="9" max="13" width="11.28515625" style="39" customWidth="1"/>
    <col min="14" max="14" width="5.5703125" style="39" customWidth="1"/>
    <col min="15" max="15" width="5.7109375" style="39" customWidth="1"/>
    <col min="16" max="19" width="9.140625" style="39" customWidth="1"/>
    <col min="20" max="256" width="9.140625" style="39" hidden="1"/>
    <col min="257" max="257" width="4.42578125" style="39" hidden="1"/>
    <col min="258" max="258" width="17.28515625" style="39" hidden="1"/>
    <col min="259" max="259" width="1.7109375" style="39" hidden="1"/>
    <col min="260" max="260" width="14.140625" style="39" hidden="1"/>
    <col min="261" max="261" width="2.5703125" style="39" hidden="1"/>
    <col min="262" max="263" width="11.28515625" style="39" hidden="1"/>
    <col min="264" max="264" width="12.28515625" style="39" hidden="1"/>
    <col min="265" max="269" width="11.28515625" style="39" hidden="1"/>
    <col min="270" max="270" width="5.5703125" style="39" hidden="1"/>
    <col min="271" max="271" width="5.7109375" style="39" hidden="1"/>
    <col min="272" max="512" width="9.140625" style="39" hidden="1"/>
    <col min="513" max="513" width="4.42578125" style="39" hidden="1"/>
    <col min="514" max="514" width="17.28515625" style="39" hidden="1"/>
    <col min="515" max="515" width="1.7109375" style="39" hidden="1"/>
    <col min="516" max="516" width="14.140625" style="39" hidden="1"/>
    <col min="517" max="517" width="2.5703125" style="39" hidden="1"/>
    <col min="518" max="519" width="11.28515625" style="39" hidden="1"/>
    <col min="520" max="520" width="12.28515625" style="39" hidden="1"/>
    <col min="521" max="525" width="11.28515625" style="39" hidden="1"/>
    <col min="526" max="526" width="5.5703125" style="39" hidden="1"/>
    <col min="527" max="527" width="5.7109375" style="39" hidden="1"/>
    <col min="528" max="768" width="9.140625" style="39" hidden="1"/>
    <col min="769" max="769" width="4.42578125" style="39" hidden="1"/>
    <col min="770" max="770" width="17.28515625" style="39" hidden="1"/>
    <col min="771" max="771" width="1.7109375" style="39" hidden="1"/>
    <col min="772" max="772" width="14.140625" style="39" hidden="1"/>
    <col min="773" max="773" width="2.5703125" style="39" hidden="1"/>
    <col min="774" max="775" width="11.28515625" style="39" hidden="1"/>
    <col min="776" max="776" width="12.28515625" style="39" hidden="1"/>
    <col min="777" max="781" width="11.28515625" style="39" hidden="1"/>
    <col min="782" max="782" width="5.5703125" style="39" hidden="1"/>
    <col min="783" max="783" width="5.7109375" style="39" hidden="1"/>
    <col min="784" max="1024" width="9.140625" style="39" hidden="1"/>
    <col min="1025" max="1025" width="4.42578125" style="39" hidden="1"/>
    <col min="1026" max="1026" width="17.28515625" style="39" hidden="1"/>
    <col min="1027" max="1027" width="1.7109375" style="39" hidden="1"/>
    <col min="1028" max="1028" width="14.140625" style="39" hidden="1"/>
    <col min="1029" max="1029" width="2.5703125" style="39" hidden="1"/>
    <col min="1030" max="1031" width="11.28515625" style="39" hidden="1"/>
    <col min="1032" max="1032" width="12.28515625" style="39" hidden="1"/>
    <col min="1033" max="1037" width="11.28515625" style="39" hidden="1"/>
    <col min="1038" max="1038" width="5.5703125" style="39" hidden="1"/>
    <col min="1039" max="1039" width="5.7109375" style="39" hidden="1"/>
    <col min="1040" max="1280" width="9.140625" style="39" hidden="1"/>
    <col min="1281" max="1281" width="4.42578125" style="39" hidden="1"/>
    <col min="1282" max="1282" width="17.28515625" style="39" hidden="1"/>
    <col min="1283" max="1283" width="1.7109375" style="39" hidden="1"/>
    <col min="1284" max="1284" width="14.140625" style="39" hidden="1"/>
    <col min="1285" max="1285" width="2.5703125" style="39" hidden="1"/>
    <col min="1286" max="1287" width="11.28515625" style="39" hidden="1"/>
    <col min="1288" max="1288" width="12.28515625" style="39" hidden="1"/>
    <col min="1289" max="1293" width="11.28515625" style="39" hidden="1"/>
    <col min="1294" max="1294" width="5.5703125" style="39" hidden="1"/>
    <col min="1295" max="1295" width="5.7109375" style="39" hidden="1"/>
    <col min="1296" max="1536" width="9.140625" style="39" hidden="1"/>
    <col min="1537" max="1537" width="4.42578125" style="39" hidden="1"/>
    <col min="1538" max="1538" width="17.28515625" style="39" hidden="1"/>
    <col min="1539" max="1539" width="1.7109375" style="39" hidden="1"/>
    <col min="1540" max="1540" width="14.140625" style="39" hidden="1"/>
    <col min="1541" max="1541" width="2.5703125" style="39" hidden="1"/>
    <col min="1542" max="1543" width="11.28515625" style="39" hidden="1"/>
    <col min="1544" max="1544" width="12.28515625" style="39" hidden="1"/>
    <col min="1545" max="1549" width="11.28515625" style="39" hidden="1"/>
    <col min="1550" max="1550" width="5.5703125" style="39" hidden="1"/>
    <col min="1551" max="1551" width="5.7109375" style="39" hidden="1"/>
    <col min="1552" max="1792" width="9.140625" style="39" hidden="1"/>
    <col min="1793" max="1793" width="4.42578125" style="39" hidden="1"/>
    <col min="1794" max="1794" width="17.28515625" style="39" hidden="1"/>
    <col min="1795" max="1795" width="1.7109375" style="39" hidden="1"/>
    <col min="1796" max="1796" width="14.140625" style="39" hidden="1"/>
    <col min="1797" max="1797" width="2.5703125" style="39" hidden="1"/>
    <col min="1798" max="1799" width="11.28515625" style="39" hidden="1"/>
    <col min="1800" max="1800" width="12.28515625" style="39" hidden="1"/>
    <col min="1801" max="1805" width="11.28515625" style="39" hidden="1"/>
    <col min="1806" max="1806" width="5.5703125" style="39" hidden="1"/>
    <col min="1807" max="1807" width="5.7109375" style="39" hidden="1"/>
    <col min="1808" max="2048" width="9.140625" style="39" hidden="1"/>
    <col min="2049" max="2049" width="4.42578125" style="39" hidden="1"/>
    <col min="2050" max="2050" width="17.28515625" style="39" hidden="1"/>
    <col min="2051" max="2051" width="1.7109375" style="39" hidden="1"/>
    <col min="2052" max="2052" width="14.140625" style="39" hidden="1"/>
    <col min="2053" max="2053" width="2.5703125" style="39" hidden="1"/>
    <col min="2054" max="2055" width="11.28515625" style="39" hidden="1"/>
    <col min="2056" max="2056" width="12.28515625" style="39" hidden="1"/>
    <col min="2057" max="2061" width="11.28515625" style="39" hidden="1"/>
    <col min="2062" max="2062" width="5.5703125" style="39" hidden="1"/>
    <col min="2063" max="2063" width="5.7109375" style="39" hidden="1"/>
    <col min="2064" max="2304" width="9.140625" style="39" hidden="1"/>
    <col min="2305" max="2305" width="4.42578125" style="39" hidden="1"/>
    <col min="2306" max="2306" width="17.28515625" style="39" hidden="1"/>
    <col min="2307" max="2307" width="1.7109375" style="39" hidden="1"/>
    <col min="2308" max="2308" width="14.140625" style="39" hidden="1"/>
    <col min="2309" max="2309" width="2.5703125" style="39" hidden="1"/>
    <col min="2310" max="2311" width="11.28515625" style="39" hidden="1"/>
    <col min="2312" max="2312" width="12.28515625" style="39" hidden="1"/>
    <col min="2313" max="2317" width="11.28515625" style="39" hidden="1"/>
    <col min="2318" max="2318" width="5.5703125" style="39" hidden="1"/>
    <col min="2319" max="2319" width="5.7109375" style="39" hidden="1"/>
    <col min="2320" max="2560" width="9.140625" style="39" hidden="1"/>
    <col min="2561" max="2561" width="4.42578125" style="39" hidden="1"/>
    <col min="2562" max="2562" width="17.28515625" style="39" hidden="1"/>
    <col min="2563" max="2563" width="1.7109375" style="39" hidden="1"/>
    <col min="2564" max="2564" width="14.140625" style="39" hidden="1"/>
    <col min="2565" max="2565" width="2.5703125" style="39" hidden="1"/>
    <col min="2566" max="2567" width="11.28515625" style="39" hidden="1"/>
    <col min="2568" max="2568" width="12.28515625" style="39" hidden="1"/>
    <col min="2569" max="2573" width="11.28515625" style="39" hidden="1"/>
    <col min="2574" max="2574" width="5.5703125" style="39" hidden="1"/>
    <col min="2575" max="2575" width="5.7109375" style="39" hidden="1"/>
    <col min="2576" max="2816" width="9.140625" style="39" hidden="1"/>
    <col min="2817" max="2817" width="4.42578125" style="39" hidden="1"/>
    <col min="2818" max="2818" width="17.28515625" style="39" hidden="1"/>
    <col min="2819" max="2819" width="1.7109375" style="39" hidden="1"/>
    <col min="2820" max="2820" width="14.140625" style="39" hidden="1"/>
    <col min="2821" max="2821" width="2.5703125" style="39" hidden="1"/>
    <col min="2822" max="2823" width="11.28515625" style="39" hidden="1"/>
    <col min="2824" max="2824" width="12.28515625" style="39" hidden="1"/>
    <col min="2825" max="2829" width="11.28515625" style="39" hidden="1"/>
    <col min="2830" max="2830" width="5.5703125" style="39" hidden="1"/>
    <col min="2831" max="2831" width="5.7109375" style="39" hidden="1"/>
    <col min="2832" max="3072" width="9.140625" style="39" hidden="1"/>
    <col min="3073" max="3073" width="4.42578125" style="39" hidden="1"/>
    <col min="3074" max="3074" width="17.28515625" style="39" hidden="1"/>
    <col min="3075" max="3075" width="1.7109375" style="39" hidden="1"/>
    <col min="3076" max="3076" width="14.140625" style="39" hidden="1"/>
    <col min="3077" max="3077" width="2.5703125" style="39" hidden="1"/>
    <col min="3078" max="3079" width="11.28515625" style="39" hidden="1"/>
    <col min="3080" max="3080" width="12.28515625" style="39" hidden="1"/>
    <col min="3081" max="3085" width="11.28515625" style="39" hidden="1"/>
    <col min="3086" max="3086" width="5.5703125" style="39" hidden="1"/>
    <col min="3087" max="3087" width="5.7109375" style="39" hidden="1"/>
    <col min="3088" max="3328" width="9.140625" style="39" hidden="1"/>
    <col min="3329" max="3329" width="4.42578125" style="39" hidden="1"/>
    <col min="3330" max="3330" width="17.28515625" style="39" hidden="1"/>
    <col min="3331" max="3331" width="1.7109375" style="39" hidden="1"/>
    <col min="3332" max="3332" width="14.140625" style="39" hidden="1"/>
    <col min="3333" max="3333" width="2.5703125" style="39" hidden="1"/>
    <col min="3334" max="3335" width="11.28515625" style="39" hidden="1"/>
    <col min="3336" max="3336" width="12.28515625" style="39" hidden="1"/>
    <col min="3337" max="3341" width="11.28515625" style="39" hidden="1"/>
    <col min="3342" max="3342" width="5.5703125" style="39" hidden="1"/>
    <col min="3343" max="3343" width="5.7109375" style="39" hidden="1"/>
    <col min="3344" max="3584" width="9.140625" style="39" hidden="1"/>
    <col min="3585" max="3585" width="4.42578125" style="39" hidden="1"/>
    <col min="3586" max="3586" width="17.28515625" style="39" hidden="1"/>
    <col min="3587" max="3587" width="1.7109375" style="39" hidden="1"/>
    <col min="3588" max="3588" width="14.140625" style="39" hidden="1"/>
    <col min="3589" max="3589" width="2.5703125" style="39" hidden="1"/>
    <col min="3590" max="3591" width="11.28515625" style="39" hidden="1"/>
    <col min="3592" max="3592" width="12.28515625" style="39" hidden="1"/>
    <col min="3593" max="3597" width="11.28515625" style="39" hidden="1"/>
    <col min="3598" max="3598" width="5.5703125" style="39" hidden="1"/>
    <col min="3599" max="3599" width="5.7109375" style="39" hidden="1"/>
    <col min="3600" max="3840" width="9.140625" style="39" hidden="1"/>
    <col min="3841" max="3841" width="4.42578125" style="39" hidden="1"/>
    <col min="3842" max="3842" width="17.28515625" style="39" hidden="1"/>
    <col min="3843" max="3843" width="1.7109375" style="39" hidden="1"/>
    <col min="3844" max="3844" width="14.140625" style="39" hidden="1"/>
    <col min="3845" max="3845" width="2.5703125" style="39" hidden="1"/>
    <col min="3846" max="3847" width="11.28515625" style="39" hidden="1"/>
    <col min="3848" max="3848" width="12.28515625" style="39" hidden="1"/>
    <col min="3849" max="3853" width="11.28515625" style="39" hidden="1"/>
    <col min="3854" max="3854" width="5.5703125" style="39" hidden="1"/>
    <col min="3855" max="3855" width="5.7109375" style="39" hidden="1"/>
    <col min="3856" max="4096" width="9.140625" style="39" hidden="1"/>
    <col min="4097" max="4097" width="4.42578125" style="39" hidden="1"/>
    <col min="4098" max="4098" width="17.28515625" style="39" hidden="1"/>
    <col min="4099" max="4099" width="1.7109375" style="39" hidden="1"/>
    <col min="4100" max="4100" width="14.140625" style="39" hidden="1"/>
    <col min="4101" max="4101" width="2.5703125" style="39" hidden="1"/>
    <col min="4102" max="4103" width="11.28515625" style="39" hidden="1"/>
    <col min="4104" max="4104" width="12.28515625" style="39" hidden="1"/>
    <col min="4105" max="4109" width="11.28515625" style="39" hidden="1"/>
    <col min="4110" max="4110" width="5.5703125" style="39" hidden="1"/>
    <col min="4111" max="4111" width="5.7109375" style="39" hidden="1"/>
    <col min="4112" max="4352" width="9.140625" style="39" hidden="1"/>
    <col min="4353" max="4353" width="4.42578125" style="39" hidden="1"/>
    <col min="4354" max="4354" width="17.28515625" style="39" hidden="1"/>
    <col min="4355" max="4355" width="1.7109375" style="39" hidden="1"/>
    <col min="4356" max="4356" width="14.140625" style="39" hidden="1"/>
    <col min="4357" max="4357" width="2.5703125" style="39" hidden="1"/>
    <col min="4358" max="4359" width="11.28515625" style="39" hidden="1"/>
    <col min="4360" max="4360" width="12.28515625" style="39" hidden="1"/>
    <col min="4361" max="4365" width="11.28515625" style="39" hidden="1"/>
    <col min="4366" max="4366" width="5.5703125" style="39" hidden="1"/>
    <col min="4367" max="4367" width="5.7109375" style="39" hidden="1"/>
    <col min="4368" max="4608" width="9.140625" style="39" hidden="1"/>
    <col min="4609" max="4609" width="4.42578125" style="39" hidden="1"/>
    <col min="4610" max="4610" width="17.28515625" style="39" hidden="1"/>
    <col min="4611" max="4611" width="1.7109375" style="39" hidden="1"/>
    <col min="4612" max="4612" width="14.140625" style="39" hidden="1"/>
    <col min="4613" max="4613" width="2.5703125" style="39" hidden="1"/>
    <col min="4614" max="4615" width="11.28515625" style="39" hidden="1"/>
    <col min="4616" max="4616" width="12.28515625" style="39" hidden="1"/>
    <col min="4617" max="4621" width="11.28515625" style="39" hidden="1"/>
    <col min="4622" max="4622" width="5.5703125" style="39" hidden="1"/>
    <col min="4623" max="4623" width="5.7109375" style="39" hidden="1"/>
    <col min="4624" max="4864" width="9.140625" style="39" hidden="1"/>
    <col min="4865" max="4865" width="4.42578125" style="39" hidden="1"/>
    <col min="4866" max="4866" width="17.28515625" style="39" hidden="1"/>
    <col min="4867" max="4867" width="1.7109375" style="39" hidden="1"/>
    <col min="4868" max="4868" width="14.140625" style="39" hidden="1"/>
    <col min="4869" max="4869" width="2.5703125" style="39" hidden="1"/>
    <col min="4870" max="4871" width="11.28515625" style="39" hidden="1"/>
    <col min="4872" max="4872" width="12.28515625" style="39" hidden="1"/>
    <col min="4873" max="4877" width="11.28515625" style="39" hidden="1"/>
    <col min="4878" max="4878" width="5.5703125" style="39" hidden="1"/>
    <col min="4879" max="4879" width="5.7109375" style="39" hidden="1"/>
    <col min="4880" max="5120" width="9.140625" style="39" hidden="1"/>
    <col min="5121" max="5121" width="4.42578125" style="39" hidden="1"/>
    <col min="5122" max="5122" width="17.28515625" style="39" hidden="1"/>
    <col min="5123" max="5123" width="1.7109375" style="39" hidden="1"/>
    <col min="5124" max="5124" width="14.140625" style="39" hidden="1"/>
    <col min="5125" max="5125" width="2.5703125" style="39" hidden="1"/>
    <col min="5126" max="5127" width="11.28515625" style="39" hidden="1"/>
    <col min="5128" max="5128" width="12.28515625" style="39" hidden="1"/>
    <col min="5129" max="5133" width="11.28515625" style="39" hidden="1"/>
    <col min="5134" max="5134" width="5.5703125" style="39" hidden="1"/>
    <col min="5135" max="5135" width="5.7109375" style="39" hidden="1"/>
    <col min="5136" max="5376" width="9.140625" style="39" hidden="1"/>
    <col min="5377" max="5377" width="4.42578125" style="39" hidden="1"/>
    <col min="5378" max="5378" width="17.28515625" style="39" hidden="1"/>
    <col min="5379" max="5379" width="1.7109375" style="39" hidden="1"/>
    <col min="5380" max="5380" width="14.140625" style="39" hidden="1"/>
    <col min="5381" max="5381" width="2.5703125" style="39" hidden="1"/>
    <col min="5382" max="5383" width="11.28515625" style="39" hidden="1"/>
    <col min="5384" max="5384" width="12.28515625" style="39" hidden="1"/>
    <col min="5385" max="5389" width="11.28515625" style="39" hidden="1"/>
    <col min="5390" max="5390" width="5.5703125" style="39" hidden="1"/>
    <col min="5391" max="5391" width="5.7109375" style="39" hidden="1"/>
    <col min="5392" max="5632" width="9.140625" style="39" hidden="1"/>
    <col min="5633" max="5633" width="4.42578125" style="39" hidden="1"/>
    <col min="5634" max="5634" width="17.28515625" style="39" hidden="1"/>
    <col min="5635" max="5635" width="1.7109375" style="39" hidden="1"/>
    <col min="5636" max="5636" width="14.140625" style="39" hidden="1"/>
    <col min="5637" max="5637" width="2.5703125" style="39" hidden="1"/>
    <col min="5638" max="5639" width="11.28515625" style="39" hidden="1"/>
    <col min="5640" max="5640" width="12.28515625" style="39" hidden="1"/>
    <col min="5641" max="5645" width="11.28515625" style="39" hidden="1"/>
    <col min="5646" max="5646" width="5.5703125" style="39" hidden="1"/>
    <col min="5647" max="5647" width="5.7109375" style="39" hidden="1"/>
    <col min="5648" max="5888" width="9.140625" style="39" hidden="1"/>
    <col min="5889" max="5889" width="4.42578125" style="39" hidden="1"/>
    <col min="5890" max="5890" width="17.28515625" style="39" hidden="1"/>
    <col min="5891" max="5891" width="1.7109375" style="39" hidden="1"/>
    <col min="5892" max="5892" width="14.140625" style="39" hidden="1"/>
    <col min="5893" max="5893" width="2.5703125" style="39" hidden="1"/>
    <col min="5894" max="5895" width="11.28515625" style="39" hidden="1"/>
    <col min="5896" max="5896" width="12.28515625" style="39" hidden="1"/>
    <col min="5897" max="5901" width="11.28515625" style="39" hidden="1"/>
    <col min="5902" max="5902" width="5.5703125" style="39" hidden="1"/>
    <col min="5903" max="5903" width="5.7109375" style="39" hidden="1"/>
    <col min="5904" max="6144" width="9.140625" style="39" hidden="1"/>
    <col min="6145" max="6145" width="4.42578125" style="39" hidden="1"/>
    <col min="6146" max="6146" width="17.28515625" style="39" hidden="1"/>
    <col min="6147" max="6147" width="1.7109375" style="39" hidden="1"/>
    <col min="6148" max="6148" width="14.140625" style="39" hidden="1"/>
    <col min="6149" max="6149" width="2.5703125" style="39" hidden="1"/>
    <col min="6150" max="6151" width="11.28515625" style="39" hidden="1"/>
    <col min="6152" max="6152" width="12.28515625" style="39" hidden="1"/>
    <col min="6153" max="6157" width="11.28515625" style="39" hidden="1"/>
    <col min="6158" max="6158" width="5.5703125" style="39" hidden="1"/>
    <col min="6159" max="6159" width="5.7109375" style="39" hidden="1"/>
    <col min="6160" max="6400" width="9.140625" style="39" hidden="1"/>
    <col min="6401" max="6401" width="4.42578125" style="39" hidden="1"/>
    <col min="6402" max="6402" width="17.28515625" style="39" hidden="1"/>
    <col min="6403" max="6403" width="1.7109375" style="39" hidden="1"/>
    <col min="6404" max="6404" width="14.140625" style="39" hidden="1"/>
    <col min="6405" max="6405" width="2.5703125" style="39" hidden="1"/>
    <col min="6406" max="6407" width="11.28515625" style="39" hidden="1"/>
    <col min="6408" max="6408" width="12.28515625" style="39" hidden="1"/>
    <col min="6409" max="6413" width="11.28515625" style="39" hidden="1"/>
    <col min="6414" max="6414" width="5.5703125" style="39" hidden="1"/>
    <col min="6415" max="6415" width="5.7109375" style="39" hidden="1"/>
    <col min="6416" max="6656" width="9.140625" style="39" hidden="1"/>
    <col min="6657" max="6657" width="4.42578125" style="39" hidden="1"/>
    <col min="6658" max="6658" width="17.28515625" style="39" hidden="1"/>
    <col min="6659" max="6659" width="1.7109375" style="39" hidden="1"/>
    <col min="6660" max="6660" width="14.140625" style="39" hidden="1"/>
    <col min="6661" max="6661" width="2.5703125" style="39" hidden="1"/>
    <col min="6662" max="6663" width="11.28515625" style="39" hidden="1"/>
    <col min="6664" max="6664" width="12.28515625" style="39" hidden="1"/>
    <col min="6665" max="6669" width="11.28515625" style="39" hidden="1"/>
    <col min="6670" max="6670" width="5.5703125" style="39" hidden="1"/>
    <col min="6671" max="6671" width="5.7109375" style="39" hidden="1"/>
    <col min="6672" max="6912" width="9.140625" style="39" hidden="1"/>
    <col min="6913" max="6913" width="4.42578125" style="39" hidden="1"/>
    <col min="6914" max="6914" width="17.28515625" style="39" hidden="1"/>
    <col min="6915" max="6915" width="1.7109375" style="39" hidden="1"/>
    <col min="6916" max="6916" width="14.140625" style="39" hidden="1"/>
    <col min="6917" max="6917" width="2.5703125" style="39" hidden="1"/>
    <col min="6918" max="6919" width="11.28515625" style="39" hidden="1"/>
    <col min="6920" max="6920" width="12.28515625" style="39" hidden="1"/>
    <col min="6921" max="6925" width="11.28515625" style="39" hidden="1"/>
    <col min="6926" max="6926" width="5.5703125" style="39" hidden="1"/>
    <col min="6927" max="6927" width="5.7109375" style="39" hidden="1"/>
    <col min="6928" max="7168" width="9.140625" style="39" hidden="1"/>
    <col min="7169" max="7169" width="4.42578125" style="39" hidden="1"/>
    <col min="7170" max="7170" width="17.28515625" style="39" hidden="1"/>
    <col min="7171" max="7171" width="1.7109375" style="39" hidden="1"/>
    <col min="7172" max="7172" width="14.140625" style="39" hidden="1"/>
    <col min="7173" max="7173" width="2.5703125" style="39" hidden="1"/>
    <col min="7174" max="7175" width="11.28515625" style="39" hidden="1"/>
    <col min="7176" max="7176" width="12.28515625" style="39" hidden="1"/>
    <col min="7177" max="7181" width="11.28515625" style="39" hidden="1"/>
    <col min="7182" max="7182" width="5.5703125" style="39" hidden="1"/>
    <col min="7183" max="7183" width="5.7109375" style="39" hidden="1"/>
    <col min="7184" max="7424" width="9.140625" style="39" hidden="1"/>
    <col min="7425" max="7425" width="4.42578125" style="39" hidden="1"/>
    <col min="7426" max="7426" width="17.28515625" style="39" hidden="1"/>
    <col min="7427" max="7427" width="1.7109375" style="39" hidden="1"/>
    <col min="7428" max="7428" width="14.140625" style="39" hidden="1"/>
    <col min="7429" max="7429" width="2.5703125" style="39" hidden="1"/>
    <col min="7430" max="7431" width="11.28515625" style="39" hidden="1"/>
    <col min="7432" max="7432" width="12.28515625" style="39" hidden="1"/>
    <col min="7433" max="7437" width="11.28515625" style="39" hidden="1"/>
    <col min="7438" max="7438" width="5.5703125" style="39" hidden="1"/>
    <col min="7439" max="7439" width="5.7109375" style="39" hidden="1"/>
    <col min="7440" max="7680" width="9.140625" style="39" hidden="1"/>
    <col min="7681" max="7681" width="4.42578125" style="39" hidden="1"/>
    <col min="7682" max="7682" width="17.28515625" style="39" hidden="1"/>
    <col min="7683" max="7683" width="1.7109375" style="39" hidden="1"/>
    <col min="7684" max="7684" width="14.140625" style="39" hidden="1"/>
    <col min="7685" max="7685" width="2.5703125" style="39" hidden="1"/>
    <col min="7686" max="7687" width="11.28515625" style="39" hidden="1"/>
    <col min="7688" max="7688" width="12.28515625" style="39" hidden="1"/>
    <col min="7689" max="7693" width="11.28515625" style="39" hidden="1"/>
    <col min="7694" max="7694" width="5.5703125" style="39" hidden="1"/>
    <col min="7695" max="7695" width="5.7109375" style="39" hidden="1"/>
    <col min="7696" max="7936" width="9.140625" style="39" hidden="1"/>
    <col min="7937" max="7937" width="4.42578125" style="39" hidden="1"/>
    <col min="7938" max="7938" width="17.28515625" style="39" hidden="1"/>
    <col min="7939" max="7939" width="1.7109375" style="39" hidden="1"/>
    <col min="7940" max="7940" width="14.140625" style="39" hidden="1"/>
    <col min="7941" max="7941" width="2.5703125" style="39" hidden="1"/>
    <col min="7942" max="7943" width="11.28515625" style="39" hidden="1"/>
    <col min="7944" max="7944" width="12.28515625" style="39" hidden="1"/>
    <col min="7945" max="7949" width="11.28515625" style="39" hidden="1"/>
    <col min="7950" max="7950" width="5.5703125" style="39" hidden="1"/>
    <col min="7951" max="7951" width="5.7109375" style="39" hidden="1"/>
    <col min="7952" max="8192" width="9.140625" style="39" hidden="1"/>
    <col min="8193" max="8193" width="4.42578125" style="39" hidden="1"/>
    <col min="8194" max="8194" width="17.28515625" style="39" hidden="1"/>
    <col min="8195" max="8195" width="1.7109375" style="39" hidden="1"/>
    <col min="8196" max="8196" width="14.140625" style="39" hidden="1"/>
    <col min="8197" max="8197" width="2.5703125" style="39" hidden="1"/>
    <col min="8198" max="8199" width="11.28515625" style="39" hidden="1"/>
    <col min="8200" max="8200" width="12.28515625" style="39" hidden="1"/>
    <col min="8201" max="8205" width="11.28515625" style="39" hidden="1"/>
    <col min="8206" max="8206" width="5.5703125" style="39" hidden="1"/>
    <col min="8207" max="8207" width="5.7109375" style="39" hidden="1"/>
    <col min="8208" max="8448" width="9.140625" style="39" hidden="1"/>
    <col min="8449" max="8449" width="4.42578125" style="39" hidden="1"/>
    <col min="8450" max="8450" width="17.28515625" style="39" hidden="1"/>
    <col min="8451" max="8451" width="1.7109375" style="39" hidden="1"/>
    <col min="8452" max="8452" width="14.140625" style="39" hidden="1"/>
    <col min="8453" max="8453" width="2.5703125" style="39" hidden="1"/>
    <col min="8454" max="8455" width="11.28515625" style="39" hidden="1"/>
    <col min="8456" max="8456" width="12.28515625" style="39" hidden="1"/>
    <col min="8457" max="8461" width="11.28515625" style="39" hidden="1"/>
    <col min="8462" max="8462" width="5.5703125" style="39" hidden="1"/>
    <col min="8463" max="8463" width="5.7109375" style="39" hidden="1"/>
    <col min="8464" max="8704" width="9.140625" style="39" hidden="1"/>
    <col min="8705" max="8705" width="4.42578125" style="39" hidden="1"/>
    <col min="8706" max="8706" width="17.28515625" style="39" hidden="1"/>
    <col min="8707" max="8707" width="1.7109375" style="39" hidden="1"/>
    <col min="8708" max="8708" width="14.140625" style="39" hidden="1"/>
    <col min="8709" max="8709" width="2.5703125" style="39" hidden="1"/>
    <col min="8710" max="8711" width="11.28515625" style="39" hidden="1"/>
    <col min="8712" max="8712" width="12.28515625" style="39" hidden="1"/>
    <col min="8713" max="8717" width="11.28515625" style="39" hidden="1"/>
    <col min="8718" max="8718" width="5.5703125" style="39" hidden="1"/>
    <col min="8719" max="8719" width="5.7109375" style="39" hidden="1"/>
    <col min="8720" max="8960" width="9.140625" style="39" hidden="1"/>
    <col min="8961" max="8961" width="4.42578125" style="39" hidden="1"/>
    <col min="8962" max="8962" width="17.28515625" style="39" hidden="1"/>
    <col min="8963" max="8963" width="1.7109375" style="39" hidden="1"/>
    <col min="8964" max="8964" width="14.140625" style="39" hidden="1"/>
    <col min="8965" max="8965" width="2.5703125" style="39" hidden="1"/>
    <col min="8966" max="8967" width="11.28515625" style="39" hidden="1"/>
    <col min="8968" max="8968" width="12.28515625" style="39" hidden="1"/>
    <col min="8969" max="8973" width="11.28515625" style="39" hidden="1"/>
    <col min="8974" max="8974" width="5.5703125" style="39" hidden="1"/>
    <col min="8975" max="8975" width="5.7109375" style="39" hidden="1"/>
    <col min="8976" max="9216" width="9.140625" style="39" hidden="1"/>
    <col min="9217" max="9217" width="4.42578125" style="39" hidden="1"/>
    <col min="9218" max="9218" width="17.28515625" style="39" hidden="1"/>
    <col min="9219" max="9219" width="1.7109375" style="39" hidden="1"/>
    <col min="9220" max="9220" width="14.140625" style="39" hidden="1"/>
    <col min="9221" max="9221" width="2.5703125" style="39" hidden="1"/>
    <col min="9222" max="9223" width="11.28515625" style="39" hidden="1"/>
    <col min="9224" max="9224" width="12.28515625" style="39" hidden="1"/>
    <col min="9225" max="9229" width="11.28515625" style="39" hidden="1"/>
    <col min="9230" max="9230" width="5.5703125" style="39" hidden="1"/>
    <col min="9231" max="9231" width="5.7109375" style="39" hidden="1"/>
    <col min="9232" max="9472" width="9.140625" style="39" hidden="1"/>
    <col min="9473" max="9473" width="4.42578125" style="39" hidden="1"/>
    <col min="9474" max="9474" width="17.28515625" style="39" hidden="1"/>
    <col min="9475" max="9475" width="1.7109375" style="39" hidden="1"/>
    <col min="9476" max="9476" width="14.140625" style="39" hidden="1"/>
    <col min="9477" max="9477" width="2.5703125" style="39" hidden="1"/>
    <col min="9478" max="9479" width="11.28515625" style="39" hidden="1"/>
    <col min="9480" max="9480" width="12.28515625" style="39" hidden="1"/>
    <col min="9481" max="9485" width="11.28515625" style="39" hidden="1"/>
    <col min="9486" max="9486" width="5.5703125" style="39" hidden="1"/>
    <col min="9487" max="9487" width="5.7109375" style="39" hidden="1"/>
    <col min="9488" max="9728" width="9.140625" style="39" hidden="1"/>
    <col min="9729" max="9729" width="4.42578125" style="39" hidden="1"/>
    <col min="9730" max="9730" width="17.28515625" style="39" hidden="1"/>
    <col min="9731" max="9731" width="1.7109375" style="39" hidden="1"/>
    <col min="9732" max="9732" width="14.140625" style="39" hidden="1"/>
    <col min="9733" max="9733" width="2.5703125" style="39" hidden="1"/>
    <col min="9734" max="9735" width="11.28515625" style="39" hidden="1"/>
    <col min="9736" max="9736" width="12.28515625" style="39" hidden="1"/>
    <col min="9737" max="9741" width="11.28515625" style="39" hidden="1"/>
    <col min="9742" max="9742" width="5.5703125" style="39" hidden="1"/>
    <col min="9743" max="9743" width="5.7109375" style="39" hidden="1"/>
    <col min="9744" max="9984" width="9.140625" style="39" hidden="1"/>
    <col min="9985" max="9985" width="4.42578125" style="39" hidden="1"/>
    <col min="9986" max="9986" width="17.28515625" style="39" hidden="1"/>
    <col min="9987" max="9987" width="1.7109375" style="39" hidden="1"/>
    <col min="9988" max="9988" width="14.140625" style="39" hidden="1"/>
    <col min="9989" max="9989" width="2.5703125" style="39" hidden="1"/>
    <col min="9990" max="9991" width="11.28515625" style="39" hidden="1"/>
    <col min="9992" max="9992" width="12.28515625" style="39" hidden="1"/>
    <col min="9993" max="9997" width="11.28515625" style="39" hidden="1"/>
    <col min="9998" max="9998" width="5.5703125" style="39" hidden="1"/>
    <col min="9999" max="9999" width="5.7109375" style="39" hidden="1"/>
    <col min="10000" max="10240" width="9.140625" style="39" hidden="1"/>
    <col min="10241" max="10241" width="4.42578125" style="39" hidden="1"/>
    <col min="10242" max="10242" width="17.28515625" style="39" hidden="1"/>
    <col min="10243" max="10243" width="1.7109375" style="39" hidden="1"/>
    <col min="10244" max="10244" width="14.140625" style="39" hidden="1"/>
    <col min="10245" max="10245" width="2.5703125" style="39" hidden="1"/>
    <col min="10246" max="10247" width="11.28515625" style="39" hidden="1"/>
    <col min="10248" max="10248" width="12.28515625" style="39" hidden="1"/>
    <col min="10249" max="10253" width="11.28515625" style="39" hidden="1"/>
    <col min="10254" max="10254" width="5.5703125" style="39" hidden="1"/>
    <col min="10255" max="10255" width="5.7109375" style="39" hidden="1"/>
    <col min="10256" max="10496" width="9.140625" style="39" hidden="1"/>
    <col min="10497" max="10497" width="4.42578125" style="39" hidden="1"/>
    <col min="10498" max="10498" width="17.28515625" style="39" hidden="1"/>
    <col min="10499" max="10499" width="1.7109375" style="39" hidden="1"/>
    <col min="10500" max="10500" width="14.140625" style="39" hidden="1"/>
    <col min="10501" max="10501" width="2.5703125" style="39" hidden="1"/>
    <col min="10502" max="10503" width="11.28515625" style="39" hidden="1"/>
    <col min="10504" max="10504" width="12.28515625" style="39" hidden="1"/>
    <col min="10505" max="10509" width="11.28515625" style="39" hidden="1"/>
    <col min="10510" max="10510" width="5.5703125" style="39" hidden="1"/>
    <col min="10511" max="10511" width="5.7109375" style="39" hidden="1"/>
    <col min="10512" max="10752" width="9.140625" style="39" hidden="1"/>
    <col min="10753" max="10753" width="4.42578125" style="39" hidden="1"/>
    <col min="10754" max="10754" width="17.28515625" style="39" hidden="1"/>
    <col min="10755" max="10755" width="1.7109375" style="39" hidden="1"/>
    <col min="10756" max="10756" width="14.140625" style="39" hidden="1"/>
    <col min="10757" max="10757" width="2.5703125" style="39" hidden="1"/>
    <col min="10758" max="10759" width="11.28515625" style="39" hidden="1"/>
    <col min="10760" max="10760" width="12.28515625" style="39" hidden="1"/>
    <col min="10761" max="10765" width="11.28515625" style="39" hidden="1"/>
    <col min="10766" max="10766" width="5.5703125" style="39" hidden="1"/>
    <col min="10767" max="10767" width="5.7109375" style="39" hidden="1"/>
    <col min="10768" max="11008" width="9.140625" style="39" hidden="1"/>
    <col min="11009" max="11009" width="4.42578125" style="39" hidden="1"/>
    <col min="11010" max="11010" width="17.28515625" style="39" hidden="1"/>
    <col min="11011" max="11011" width="1.7109375" style="39" hidden="1"/>
    <col min="11012" max="11012" width="14.140625" style="39" hidden="1"/>
    <col min="11013" max="11013" width="2.5703125" style="39" hidden="1"/>
    <col min="11014" max="11015" width="11.28515625" style="39" hidden="1"/>
    <col min="11016" max="11016" width="12.28515625" style="39" hidden="1"/>
    <col min="11017" max="11021" width="11.28515625" style="39" hidden="1"/>
    <col min="11022" max="11022" width="5.5703125" style="39" hidden="1"/>
    <col min="11023" max="11023" width="5.7109375" style="39" hidden="1"/>
    <col min="11024" max="11264" width="9.140625" style="39" hidden="1"/>
    <col min="11265" max="11265" width="4.42578125" style="39" hidden="1"/>
    <col min="11266" max="11266" width="17.28515625" style="39" hidden="1"/>
    <col min="11267" max="11267" width="1.7109375" style="39" hidden="1"/>
    <col min="11268" max="11268" width="14.140625" style="39" hidden="1"/>
    <col min="11269" max="11269" width="2.5703125" style="39" hidden="1"/>
    <col min="11270" max="11271" width="11.28515625" style="39" hidden="1"/>
    <col min="11272" max="11272" width="12.28515625" style="39" hidden="1"/>
    <col min="11273" max="11277" width="11.28515625" style="39" hidden="1"/>
    <col min="11278" max="11278" width="5.5703125" style="39" hidden="1"/>
    <col min="11279" max="11279" width="5.7109375" style="39" hidden="1"/>
    <col min="11280" max="11520" width="9.140625" style="39" hidden="1"/>
    <col min="11521" max="11521" width="4.42578125" style="39" hidden="1"/>
    <col min="11522" max="11522" width="17.28515625" style="39" hidden="1"/>
    <col min="11523" max="11523" width="1.7109375" style="39" hidden="1"/>
    <col min="11524" max="11524" width="14.140625" style="39" hidden="1"/>
    <col min="11525" max="11525" width="2.5703125" style="39" hidden="1"/>
    <col min="11526" max="11527" width="11.28515625" style="39" hidden="1"/>
    <col min="11528" max="11528" width="12.28515625" style="39" hidden="1"/>
    <col min="11529" max="11533" width="11.28515625" style="39" hidden="1"/>
    <col min="11534" max="11534" width="5.5703125" style="39" hidden="1"/>
    <col min="11535" max="11535" width="5.7109375" style="39" hidden="1"/>
    <col min="11536" max="11776" width="9.140625" style="39" hidden="1"/>
    <col min="11777" max="11777" width="4.42578125" style="39" hidden="1"/>
    <col min="11778" max="11778" width="17.28515625" style="39" hidden="1"/>
    <col min="11779" max="11779" width="1.7109375" style="39" hidden="1"/>
    <col min="11780" max="11780" width="14.140625" style="39" hidden="1"/>
    <col min="11781" max="11781" width="2.5703125" style="39" hidden="1"/>
    <col min="11782" max="11783" width="11.28515625" style="39" hidden="1"/>
    <col min="11784" max="11784" width="12.28515625" style="39" hidden="1"/>
    <col min="11785" max="11789" width="11.28515625" style="39" hidden="1"/>
    <col min="11790" max="11790" width="5.5703125" style="39" hidden="1"/>
    <col min="11791" max="11791" width="5.7109375" style="39" hidden="1"/>
    <col min="11792" max="12032" width="9.140625" style="39" hidden="1"/>
    <col min="12033" max="12033" width="4.42578125" style="39" hidden="1"/>
    <col min="12034" max="12034" width="17.28515625" style="39" hidden="1"/>
    <col min="12035" max="12035" width="1.7109375" style="39" hidden="1"/>
    <col min="12036" max="12036" width="14.140625" style="39" hidden="1"/>
    <col min="12037" max="12037" width="2.5703125" style="39" hidden="1"/>
    <col min="12038" max="12039" width="11.28515625" style="39" hidden="1"/>
    <col min="12040" max="12040" width="12.28515625" style="39" hidden="1"/>
    <col min="12041" max="12045" width="11.28515625" style="39" hidden="1"/>
    <col min="12046" max="12046" width="5.5703125" style="39" hidden="1"/>
    <col min="12047" max="12047" width="5.7109375" style="39" hidden="1"/>
    <col min="12048" max="12288" width="9.140625" style="39" hidden="1"/>
    <col min="12289" max="12289" width="4.42578125" style="39" hidden="1"/>
    <col min="12290" max="12290" width="17.28515625" style="39" hidden="1"/>
    <col min="12291" max="12291" width="1.7109375" style="39" hidden="1"/>
    <col min="12292" max="12292" width="14.140625" style="39" hidden="1"/>
    <col min="12293" max="12293" width="2.5703125" style="39" hidden="1"/>
    <col min="12294" max="12295" width="11.28515625" style="39" hidden="1"/>
    <col min="12296" max="12296" width="12.28515625" style="39" hidden="1"/>
    <col min="12297" max="12301" width="11.28515625" style="39" hidden="1"/>
    <col min="12302" max="12302" width="5.5703125" style="39" hidden="1"/>
    <col min="12303" max="12303" width="5.7109375" style="39" hidden="1"/>
    <col min="12304" max="12544" width="9.140625" style="39" hidden="1"/>
    <col min="12545" max="12545" width="4.42578125" style="39" hidden="1"/>
    <col min="12546" max="12546" width="17.28515625" style="39" hidden="1"/>
    <col min="12547" max="12547" width="1.7109375" style="39" hidden="1"/>
    <col min="12548" max="12548" width="14.140625" style="39" hidden="1"/>
    <col min="12549" max="12549" width="2.5703125" style="39" hidden="1"/>
    <col min="12550" max="12551" width="11.28515625" style="39" hidden="1"/>
    <col min="12552" max="12552" width="12.28515625" style="39" hidden="1"/>
    <col min="12553" max="12557" width="11.28515625" style="39" hidden="1"/>
    <col min="12558" max="12558" width="5.5703125" style="39" hidden="1"/>
    <col min="12559" max="12559" width="5.7109375" style="39" hidden="1"/>
    <col min="12560" max="12800" width="9.140625" style="39" hidden="1"/>
    <col min="12801" max="12801" width="4.42578125" style="39" hidden="1"/>
    <col min="12802" max="12802" width="17.28515625" style="39" hidden="1"/>
    <col min="12803" max="12803" width="1.7109375" style="39" hidden="1"/>
    <col min="12804" max="12804" width="14.140625" style="39" hidden="1"/>
    <col min="12805" max="12805" width="2.5703125" style="39" hidden="1"/>
    <col min="12806" max="12807" width="11.28515625" style="39" hidden="1"/>
    <col min="12808" max="12808" width="12.28515625" style="39" hidden="1"/>
    <col min="12809" max="12813" width="11.28515625" style="39" hidden="1"/>
    <col min="12814" max="12814" width="5.5703125" style="39" hidden="1"/>
    <col min="12815" max="12815" width="5.7109375" style="39" hidden="1"/>
    <col min="12816" max="13056" width="9.140625" style="39" hidden="1"/>
    <col min="13057" max="13057" width="4.42578125" style="39" hidden="1"/>
    <col min="13058" max="13058" width="17.28515625" style="39" hidden="1"/>
    <col min="13059" max="13059" width="1.7109375" style="39" hidden="1"/>
    <col min="13060" max="13060" width="14.140625" style="39" hidden="1"/>
    <col min="13061" max="13061" width="2.5703125" style="39" hidden="1"/>
    <col min="13062" max="13063" width="11.28515625" style="39" hidden="1"/>
    <col min="13064" max="13064" width="12.28515625" style="39" hidden="1"/>
    <col min="13065" max="13069" width="11.28515625" style="39" hidden="1"/>
    <col min="13070" max="13070" width="5.5703125" style="39" hidden="1"/>
    <col min="13071" max="13071" width="5.7109375" style="39" hidden="1"/>
    <col min="13072" max="13312" width="9.140625" style="39" hidden="1"/>
    <col min="13313" max="13313" width="4.42578125" style="39" hidden="1"/>
    <col min="13314" max="13314" width="17.28515625" style="39" hidden="1"/>
    <col min="13315" max="13315" width="1.7109375" style="39" hidden="1"/>
    <col min="13316" max="13316" width="14.140625" style="39" hidden="1"/>
    <col min="13317" max="13317" width="2.5703125" style="39" hidden="1"/>
    <col min="13318" max="13319" width="11.28515625" style="39" hidden="1"/>
    <col min="13320" max="13320" width="12.28515625" style="39" hidden="1"/>
    <col min="13321" max="13325" width="11.28515625" style="39" hidden="1"/>
    <col min="13326" max="13326" width="5.5703125" style="39" hidden="1"/>
    <col min="13327" max="13327" width="5.7109375" style="39" hidden="1"/>
    <col min="13328" max="13568" width="9.140625" style="39" hidden="1"/>
    <col min="13569" max="13569" width="4.42578125" style="39" hidden="1"/>
    <col min="13570" max="13570" width="17.28515625" style="39" hidden="1"/>
    <col min="13571" max="13571" width="1.7109375" style="39" hidden="1"/>
    <col min="13572" max="13572" width="14.140625" style="39" hidden="1"/>
    <col min="13573" max="13573" width="2.5703125" style="39" hidden="1"/>
    <col min="13574" max="13575" width="11.28515625" style="39" hidden="1"/>
    <col min="13576" max="13576" width="12.28515625" style="39" hidden="1"/>
    <col min="13577" max="13581" width="11.28515625" style="39" hidden="1"/>
    <col min="13582" max="13582" width="5.5703125" style="39" hidden="1"/>
    <col min="13583" max="13583" width="5.7109375" style="39" hidden="1"/>
    <col min="13584" max="13824" width="9.140625" style="39" hidden="1"/>
    <col min="13825" max="13825" width="4.42578125" style="39" hidden="1"/>
    <col min="13826" max="13826" width="17.28515625" style="39" hidden="1"/>
    <col min="13827" max="13827" width="1.7109375" style="39" hidden="1"/>
    <col min="13828" max="13828" width="14.140625" style="39" hidden="1"/>
    <col min="13829" max="13829" width="2.5703125" style="39" hidden="1"/>
    <col min="13830" max="13831" width="11.28515625" style="39" hidden="1"/>
    <col min="13832" max="13832" width="12.28515625" style="39" hidden="1"/>
    <col min="13833" max="13837" width="11.28515625" style="39" hidden="1"/>
    <col min="13838" max="13838" width="5.5703125" style="39" hidden="1"/>
    <col min="13839" max="13839" width="5.7109375" style="39" hidden="1"/>
    <col min="13840" max="14080" width="9.140625" style="39" hidden="1"/>
    <col min="14081" max="14081" width="4.42578125" style="39" hidden="1"/>
    <col min="14082" max="14082" width="17.28515625" style="39" hidden="1"/>
    <col min="14083" max="14083" width="1.7109375" style="39" hidden="1"/>
    <col min="14084" max="14084" width="14.140625" style="39" hidden="1"/>
    <col min="14085" max="14085" width="2.5703125" style="39" hidden="1"/>
    <col min="14086" max="14087" width="11.28515625" style="39" hidden="1"/>
    <col min="14088" max="14088" width="12.28515625" style="39" hidden="1"/>
    <col min="14089" max="14093" width="11.28515625" style="39" hidden="1"/>
    <col min="14094" max="14094" width="5.5703125" style="39" hidden="1"/>
    <col min="14095" max="14095" width="5.7109375" style="39" hidden="1"/>
    <col min="14096" max="14336" width="9.140625" style="39" hidden="1"/>
    <col min="14337" max="14337" width="4.42578125" style="39" hidden="1"/>
    <col min="14338" max="14338" width="17.28515625" style="39" hidden="1"/>
    <col min="14339" max="14339" width="1.7109375" style="39" hidden="1"/>
    <col min="14340" max="14340" width="14.140625" style="39" hidden="1"/>
    <col min="14341" max="14341" width="2.5703125" style="39" hidden="1"/>
    <col min="14342" max="14343" width="11.28515625" style="39" hidden="1"/>
    <col min="14344" max="14344" width="12.28515625" style="39" hidden="1"/>
    <col min="14345" max="14349" width="11.28515625" style="39" hidden="1"/>
    <col min="14350" max="14350" width="5.5703125" style="39" hidden="1"/>
    <col min="14351" max="14351" width="5.7109375" style="39" hidden="1"/>
    <col min="14352" max="14592" width="9.140625" style="39" hidden="1"/>
    <col min="14593" max="14593" width="4.42578125" style="39" hidden="1"/>
    <col min="14594" max="14594" width="17.28515625" style="39" hidden="1"/>
    <col min="14595" max="14595" width="1.7109375" style="39" hidden="1"/>
    <col min="14596" max="14596" width="14.140625" style="39" hidden="1"/>
    <col min="14597" max="14597" width="2.5703125" style="39" hidden="1"/>
    <col min="14598" max="14599" width="11.28515625" style="39" hidden="1"/>
    <col min="14600" max="14600" width="12.28515625" style="39" hidden="1"/>
    <col min="14601" max="14605" width="11.28515625" style="39" hidden="1"/>
    <col min="14606" max="14606" width="5.5703125" style="39" hidden="1"/>
    <col min="14607" max="14607" width="5.7109375" style="39" hidden="1"/>
    <col min="14608" max="14848" width="9.140625" style="39" hidden="1"/>
    <col min="14849" max="14849" width="4.42578125" style="39" hidden="1"/>
    <col min="14850" max="14850" width="17.28515625" style="39" hidden="1"/>
    <col min="14851" max="14851" width="1.7109375" style="39" hidden="1"/>
    <col min="14852" max="14852" width="14.140625" style="39" hidden="1"/>
    <col min="14853" max="14853" width="2.5703125" style="39" hidden="1"/>
    <col min="14854" max="14855" width="11.28515625" style="39" hidden="1"/>
    <col min="14856" max="14856" width="12.28515625" style="39" hidden="1"/>
    <col min="14857" max="14861" width="11.28515625" style="39" hidden="1"/>
    <col min="14862" max="14862" width="5.5703125" style="39" hidden="1"/>
    <col min="14863" max="14863" width="5.7109375" style="39" hidden="1"/>
    <col min="14864" max="15104" width="9.140625" style="39" hidden="1"/>
    <col min="15105" max="15105" width="4.42578125" style="39" hidden="1"/>
    <col min="15106" max="15106" width="17.28515625" style="39" hidden="1"/>
    <col min="15107" max="15107" width="1.7109375" style="39" hidden="1"/>
    <col min="15108" max="15108" width="14.140625" style="39" hidden="1"/>
    <col min="15109" max="15109" width="2.5703125" style="39" hidden="1"/>
    <col min="15110" max="15111" width="11.28515625" style="39" hidden="1"/>
    <col min="15112" max="15112" width="12.28515625" style="39" hidden="1"/>
    <col min="15113" max="15117" width="11.28515625" style="39" hidden="1"/>
    <col min="15118" max="15118" width="5.5703125" style="39" hidden="1"/>
    <col min="15119" max="15119" width="5.7109375" style="39" hidden="1"/>
    <col min="15120" max="15360" width="9.140625" style="39" hidden="1"/>
    <col min="15361" max="15361" width="4.42578125" style="39" hidden="1"/>
    <col min="15362" max="15362" width="17.28515625" style="39" hidden="1"/>
    <col min="15363" max="15363" width="1.7109375" style="39" hidden="1"/>
    <col min="15364" max="15364" width="14.140625" style="39" hidden="1"/>
    <col min="15365" max="15365" width="2.5703125" style="39" hidden="1"/>
    <col min="15366" max="15367" width="11.28515625" style="39" hidden="1"/>
    <col min="15368" max="15368" width="12.28515625" style="39" hidden="1"/>
    <col min="15369" max="15373" width="11.28515625" style="39" hidden="1"/>
    <col min="15374" max="15374" width="5.5703125" style="39" hidden="1"/>
    <col min="15375" max="15375" width="5.7109375" style="39" hidden="1"/>
    <col min="15376" max="15616" width="9.140625" style="39" hidden="1"/>
    <col min="15617" max="15617" width="4.42578125" style="39" hidden="1"/>
    <col min="15618" max="15618" width="17.28515625" style="39" hidden="1"/>
    <col min="15619" max="15619" width="1.7109375" style="39" hidden="1"/>
    <col min="15620" max="15620" width="14.140625" style="39" hidden="1"/>
    <col min="15621" max="15621" width="2.5703125" style="39" hidden="1"/>
    <col min="15622" max="15623" width="11.28515625" style="39" hidden="1"/>
    <col min="15624" max="15624" width="12.28515625" style="39" hidden="1"/>
    <col min="15625" max="15629" width="11.28515625" style="39" hidden="1"/>
    <col min="15630" max="15630" width="5.5703125" style="39" hidden="1"/>
    <col min="15631" max="15631" width="5.7109375" style="39" hidden="1"/>
    <col min="15632" max="15872" width="9.140625" style="39" hidden="1"/>
    <col min="15873" max="15873" width="4.42578125" style="39" hidden="1"/>
    <col min="15874" max="15874" width="17.28515625" style="39" hidden="1"/>
    <col min="15875" max="15875" width="1.7109375" style="39" hidden="1"/>
    <col min="15876" max="15876" width="14.140625" style="39" hidden="1"/>
    <col min="15877" max="15877" width="2.5703125" style="39" hidden="1"/>
    <col min="15878" max="15879" width="11.28515625" style="39" hidden="1"/>
    <col min="15880" max="15880" width="12.28515625" style="39" hidden="1"/>
    <col min="15881" max="15885" width="11.28515625" style="39" hidden="1"/>
    <col min="15886" max="15886" width="5.5703125" style="39" hidden="1"/>
    <col min="15887" max="15887" width="5.7109375" style="39" hidden="1"/>
    <col min="15888" max="16128" width="9.140625" style="39" hidden="1"/>
    <col min="16129" max="16129" width="4.42578125" style="39" hidden="1"/>
    <col min="16130" max="16130" width="17.28515625" style="39" hidden="1"/>
    <col min="16131" max="16131" width="1.7109375" style="39" hidden="1"/>
    <col min="16132" max="16132" width="14.140625" style="39" hidden="1"/>
    <col min="16133" max="16133" width="2.5703125" style="39" hidden="1"/>
    <col min="16134" max="16135" width="11.28515625" style="39" hidden="1"/>
    <col min="16136" max="16136" width="12.28515625" style="39" hidden="1"/>
    <col min="16137" max="16141" width="11.28515625" style="39" hidden="1"/>
    <col min="16142" max="16142" width="5.5703125" style="39" hidden="1"/>
    <col min="16143" max="16143" width="5.7109375" style="39" hidden="1"/>
    <col min="16144" max="16384" width="9.140625" style="39" hidden="1"/>
  </cols>
  <sheetData>
    <row r="2" spans="1:17" s="25" customFormat="1" ht="58.15" customHeight="1" x14ac:dyDescent="0.25">
      <c r="A2" s="26"/>
      <c r="B2" s="52" t="str">
        <f>InteractiveReadyReckoner!C2</f>
        <v>BREEAM UK NC (2018) Mat 01 Interactive Ready Reckoner</v>
      </c>
      <c r="C2" s="52"/>
      <c r="D2" s="52"/>
      <c r="E2" s="52"/>
      <c r="F2" s="52"/>
      <c r="G2" s="52"/>
      <c r="H2" s="52"/>
      <c r="I2" s="52"/>
      <c r="J2" s="52"/>
      <c r="K2" s="52"/>
      <c r="L2" s="52"/>
      <c r="M2" s="52"/>
      <c r="N2" s="52"/>
      <c r="O2" s="52"/>
      <c r="Q2" s="26"/>
    </row>
    <row r="3" spans="1:17" ht="15" x14ac:dyDescent="0.2">
      <c r="B3" s="40"/>
      <c r="C3" s="41"/>
      <c r="D3" s="41"/>
      <c r="E3" s="41"/>
      <c r="F3" s="41"/>
      <c r="G3" s="41"/>
      <c r="H3" s="41"/>
      <c r="I3" s="41"/>
      <c r="J3" s="41"/>
      <c r="K3" s="41"/>
      <c r="L3" s="41"/>
      <c r="M3" s="41"/>
      <c r="N3" s="41"/>
    </row>
    <row r="4" spans="1:17" ht="15" x14ac:dyDescent="0.25">
      <c r="B4" s="46" t="s">
        <v>71</v>
      </c>
      <c r="C4" s="42"/>
      <c r="D4" s="46" t="s">
        <v>72</v>
      </c>
      <c r="E4" s="43"/>
      <c r="F4" s="48" t="s">
        <v>73</v>
      </c>
      <c r="G4" s="47"/>
      <c r="H4" s="47"/>
      <c r="I4" s="47"/>
      <c r="J4" s="47"/>
      <c r="K4" s="47"/>
      <c r="L4" s="47"/>
      <c r="M4" s="47"/>
      <c r="N4" s="47"/>
    </row>
    <row r="6" spans="1:17" ht="15" x14ac:dyDescent="0.25">
      <c r="B6" s="44">
        <v>1</v>
      </c>
      <c r="C6" s="43"/>
      <c r="D6" s="45">
        <v>43427</v>
      </c>
      <c r="E6" s="43"/>
      <c r="F6" s="415" t="s">
        <v>74</v>
      </c>
      <c r="G6" s="415"/>
      <c r="H6" s="415"/>
      <c r="I6" s="415"/>
      <c r="J6" s="415"/>
      <c r="K6" s="415"/>
      <c r="L6" s="415"/>
      <c r="M6" s="415"/>
      <c r="N6" s="415"/>
    </row>
  </sheetData>
  <sheetProtection algorithmName="SHA-512" hashValue="UyupUXw8KcZy/dfghvsNq1dvun2ICyWJoyTTMIf56PaH9fBAr8pUbF5KBsGzz0iJtLQ8uBe6BXQO9k8rl0EdZg==" saltValue="QDpbZGkA1bpSXSztri9i5w==" spinCount="100000" sheet="1" objects="1" scenarios="1" selectLockedCells="1" selectUnlockedCells="1"/>
  <mergeCells count="1">
    <mergeCell ref="F6:N6"/>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20495-9ED5-4345-AFA8-E36949DDF739}">
  <dimension ref="A2:WVW16"/>
  <sheetViews>
    <sheetView showGridLines="0" zoomScaleNormal="100" workbookViewId="0">
      <selection activeCell="F6" sqref="F6:N6"/>
    </sheetView>
  </sheetViews>
  <sheetFormatPr defaultColWidth="0" defaultRowHeight="12.75" x14ac:dyDescent="0.2"/>
  <cols>
    <col min="1" max="1" width="4.42578125" style="331" customWidth="1"/>
    <col min="2" max="2" width="17.28515625" style="331" customWidth="1"/>
    <col min="3" max="3" width="1.7109375" style="331" customWidth="1"/>
    <col min="4" max="4" width="14.140625" style="331" customWidth="1"/>
    <col min="5" max="5" width="2.5703125" style="331" customWidth="1"/>
    <col min="6" max="7" width="11.28515625" style="331" customWidth="1"/>
    <col min="8" max="8" width="12.28515625" style="331" customWidth="1"/>
    <col min="9" max="13" width="11.28515625" style="331" customWidth="1"/>
    <col min="14" max="14" width="5.5703125" style="331" customWidth="1"/>
    <col min="15" max="15" width="5.7109375" style="331" customWidth="1"/>
    <col min="16" max="19" width="9.140625" style="331" hidden="1" customWidth="1"/>
    <col min="20" max="256" width="9.140625" style="331" hidden="1"/>
    <col min="257" max="257" width="4.42578125" style="331" hidden="1"/>
    <col min="258" max="258" width="17.28515625" style="331" hidden="1"/>
    <col min="259" max="259" width="1.7109375" style="331" hidden="1"/>
    <col min="260" max="260" width="14.140625" style="331" hidden="1"/>
    <col min="261" max="261" width="2.5703125" style="331" hidden="1"/>
    <col min="262" max="263" width="11.28515625" style="331" hidden="1"/>
    <col min="264" max="264" width="12.28515625" style="331" hidden="1"/>
    <col min="265" max="269" width="11.28515625" style="331" hidden="1"/>
    <col min="270" max="270" width="5.5703125" style="331" hidden="1"/>
    <col min="271" max="271" width="5.7109375" style="331" hidden="1"/>
    <col min="272" max="512" width="9.140625" style="331" hidden="1"/>
    <col min="513" max="513" width="4.42578125" style="331" hidden="1"/>
    <col min="514" max="514" width="17.28515625" style="331" hidden="1"/>
    <col min="515" max="515" width="1.7109375" style="331" hidden="1"/>
    <col min="516" max="516" width="14.140625" style="331" hidden="1"/>
    <col min="517" max="517" width="2.5703125" style="331" hidden="1"/>
    <col min="518" max="519" width="11.28515625" style="331" hidden="1"/>
    <col min="520" max="520" width="12.28515625" style="331" hidden="1"/>
    <col min="521" max="525" width="11.28515625" style="331" hidden="1"/>
    <col min="526" max="526" width="5.5703125" style="331" hidden="1"/>
    <col min="527" max="527" width="5.7109375" style="331" hidden="1"/>
    <col min="528" max="768" width="9.140625" style="331" hidden="1"/>
    <col min="769" max="769" width="4.42578125" style="331" hidden="1"/>
    <col min="770" max="770" width="17.28515625" style="331" hidden="1"/>
    <col min="771" max="771" width="1.7109375" style="331" hidden="1"/>
    <col min="772" max="772" width="14.140625" style="331" hidden="1"/>
    <col min="773" max="773" width="2.5703125" style="331" hidden="1"/>
    <col min="774" max="775" width="11.28515625" style="331" hidden="1"/>
    <col min="776" max="776" width="12.28515625" style="331" hidden="1"/>
    <col min="777" max="781" width="11.28515625" style="331" hidden="1"/>
    <col min="782" max="782" width="5.5703125" style="331" hidden="1"/>
    <col min="783" max="783" width="5.7109375" style="331" hidden="1"/>
    <col min="784" max="1024" width="9.140625" style="331" hidden="1"/>
    <col min="1025" max="1025" width="4.42578125" style="331" hidden="1"/>
    <col min="1026" max="1026" width="17.28515625" style="331" hidden="1"/>
    <col min="1027" max="1027" width="1.7109375" style="331" hidden="1"/>
    <col min="1028" max="1028" width="14.140625" style="331" hidden="1"/>
    <col min="1029" max="1029" width="2.5703125" style="331" hidden="1"/>
    <col min="1030" max="1031" width="11.28515625" style="331" hidden="1"/>
    <col min="1032" max="1032" width="12.28515625" style="331" hidden="1"/>
    <col min="1033" max="1037" width="11.28515625" style="331" hidden="1"/>
    <col min="1038" max="1038" width="5.5703125" style="331" hidden="1"/>
    <col min="1039" max="1039" width="5.7109375" style="331" hidden="1"/>
    <col min="1040" max="1280" width="9.140625" style="331" hidden="1"/>
    <col min="1281" max="1281" width="4.42578125" style="331" hidden="1"/>
    <col min="1282" max="1282" width="17.28515625" style="331" hidden="1"/>
    <col min="1283" max="1283" width="1.7109375" style="331" hidden="1"/>
    <col min="1284" max="1284" width="14.140625" style="331" hidden="1"/>
    <col min="1285" max="1285" width="2.5703125" style="331" hidden="1"/>
    <col min="1286" max="1287" width="11.28515625" style="331" hidden="1"/>
    <col min="1288" max="1288" width="12.28515625" style="331" hidden="1"/>
    <col min="1289" max="1293" width="11.28515625" style="331" hidden="1"/>
    <col min="1294" max="1294" width="5.5703125" style="331" hidden="1"/>
    <col min="1295" max="1295" width="5.7109375" style="331" hidden="1"/>
    <col min="1296" max="1536" width="9.140625" style="331" hidden="1"/>
    <col min="1537" max="1537" width="4.42578125" style="331" hidden="1"/>
    <col min="1538" max="1538" width="17.28515625" style="331" hidden="1"/>
    <col min="1539" max="1539" width="1.7109375" style="331" hidden="1"/>
    <col min="1540" max="1540" width="14.140625" style="331" hidden="1"/>
    <col min="1541" max="1541" width="2.5703125" style="331" hidden="1"/>
    <col min="1542" max="1543" width="11.28515625" style="331" hidden="1"/>
    <col min="1544" max="1544" width="12.28515625" style="331" hidden="1"/>
    <col min="1545" max="1549" width="11.28515625" style="331" hidden="1"/>
    <col min="1550" max="1550" width="5.5703125" style="331" hidden="1"/>
    <col min="1551" max="1551" width="5.7109375" style="331" hidden="1"/>
    <col min="1552" max="1792" width="9.140625" style="331" hidden="1"/>
    <col min="1793" max="1793" width="4.42578125" style="331" hidden="1"/>
    <col min="1794" max="1794" width="17.28515625" style="331" hidden="1"/>
    <col min="1795" max="1795" width="1.7109375" style="331" hidden="1"/>
    <col min="1796" max="1796" width="14.140625" style="331" hidden="1"/>
    <col min="1797" max="1797" width="2.5703125" style="331" hidden="1"/>
    <col min="1798" max="1799" width="11.28515625" style="331" hidden="1"/>
    <col min="1800" max="1800" width="12.28515625" style="331" hidden="1"/>
    <col min="1801" max="1805" width="11.28515625" style="331" hidden="1"/>
    <col min="1806" max="1806" width="5.5703125" style="331" hidden="1"/>
    <col min="1807" max="1807" width="5.7109375" style="331" hidden="1"/>
    <col min="1808" max="2048" width="9.140625" style="331" hidden="1"/>
    <col min="2049" max="2049" width="4.42578125" style="331" hidden="1"/>
    <col min="2050" max="2050" width="17.28515625" style="331" hidden="1"/>
    <col min="2051" max="2051" width="1.7109375" style="331" hidden="1"/>
    <col min="2052" max="2052" width="14.140625" style="331" hidden="1"/>
    <col min="2053" max="2053" width="2.5703125" style="331" hidden="1"/>
    <col min="2054" max="2055" width="11.28515625" style="331" hidden="1"/>
    <col min="2056" max="2056" width="12.28515625" style="331" hidden="1"/>
    <col min="2057" max="2061" width="11.28515625" style="331" hidden="1"/>
    <col min="2062" max="2062" width="5.5703125" style="331" hidden="1"/>
    <col min="2063" max="2063" width="5.7109375" style="331" hidden="1"/>
    <col min="2064" max="2304" width="9.140625" style="331" hidden="1"/>
    <col min="2305" max="2305" width="4.42578125" style="331" hidden="1"/>
    <col min="2306" max="2306" width="17.28515625" style="331" hidden="1"/>
    <col min="2307" max="2307" width="1.7109375" style="331" hidden="1"/>
    <col min="2308" max="2308" width="14.140625" style="331" hidden="1"/>
    <col min="2309" max="2309" width="2.5703125" style="331" hidden="1"/>
    <col min="2310" max="2311" width="11.28515625" style="331" hidden="1"/>
    <col min="2312" max="2312" width="12.28515625" style="331" hidden="1"/>
    <col min="2313" max="2317" width="11.28515625" style="331" hidden="1"/>
    <col min="2318" max="2318" width="5.5703125" style="331" hidden="1"/>
    <col min="2319" max="2319" width="5.7109375" style="331" hidden="1"/>
    <col min="2320" max="2560" width="9.140625" style="331" hidden="1"/>
    <col min="2561" max="2561" width="4.42578125" style="331" hidden="1"/>
    <col min="2562" max="2562" width="17.28515625" style="331" hidden="1"/>
    <col min="2563" max="2563" width="1.7109375" style="331" hidden="1"/>
    <col min="2564" max="2564" width="14.140625" style="331" hidden="1"/>
    <col min="2565" max="2565" width="2.5703125" style="331" hidden="1"/>
    <col min="2566" max="2567" width="11.28515625" style="331" hidden="1"/>
    <col min="2568" max="2568" width="12.28515625" style="331" hidden="1"/>
    <col min="2569" max="2573" width="11.28515625" style="331" hidden="1"/>
    <col min="2574" max="2574" width="5.5703125" style="331" hidden="1"/>
    <col min="2575" max="2575" width="5.7109375" style="331" hidden="1"/>
    <col min="2576" max="2816" width="9.140625" style="331" hidden="1"/>
    <col min="2817" max="2817" width="4.42578125" style="331" hidden="1"/>
    <col min="2818" max="2818" width="17.28515625" style="331" hidden="1"/>
    <col min="2819" max="2819" width="1.7109375" style="331" hidden="1"/>
    <col min="2820" max="2820" width="14.140625" style="331" hidden="1"/>
    <col min="2821" max="2821" width="2.5703125" style="331" hidden="1"/>
    <col min="2822" max="2823" width="11.28515625" style="331" hidden="1"/>
    <col min="2824" max="2824" width="12.28515625" style="331" hidden="1"/>
    <col min="2825" max="2829" width="11.28515625" style="331" hidden="1"/>
    <col min="2830" max="2830" width="5.5703125" style="331" hidden="1"/>
    <col min="2831" max="2831" width="5.7109375" style="331" hidden="1"/>
    <col min="2832" max="3072" width="9.140625" style="331" hidden="1"/>
    <col min="3073" max="3073" width="4.42578125" style="331" hidden="1"/>
    <col min="3074" max="3074" width="17.28515625" style="331" hidden="1"/>
    <col min="3075" max="3075" width="1.7109375" style="331" hidden="1"/>
    <col min="3076" max="3076" width="14.140625" style="331" hidden="1"/>
    <col min="3077" max="3077" width="2.5703125" style="331" hidden="1"/>
    <col min="3078" max="3079" width="11.28515625" style="331" hidden="1"/>
    <col min="3080" max="3080" width="12.28515625" style="331" hidden="1"/>
    <col min="3081" max="3085" width="11.28515625" style="331" hidden="1"/>
    <col min="3086" max="3086" width="5.5703125" style="331" hidden="1"/>
    <col min="3087" max="3087" width="5.7109375" style="331" hidden="1"/>
    <col min="3088" max="3328" width="9.140625" style="331" hidden="1"/>
    <col min="3329" max="3329" width="4.42578125" style="331" hidden="1"/>
    <col min="3330" max="3330" width="17.28515625" style="331" hidden="1"/>
    <col min="3331" max="3331" width="1.7109375" style="331" hidden="1"/>
    <col min="3332" max="3332" width="14.140625" style="331" hidden="1"/>
    <col min="3333" max="3333" width="2.5703125" style="331" hidden="1"/>
    <col min="3334" max="3335" width="11.28515625" style="331" hidden="1"/>
    <col min="3336" max="3336" width="12.28515625" style="331" hidden="1"/>
    <col min="3337" max="3341" width="11.28515625" style="331" hidden="1"/>
    <col min="3342" max="3342" width="5.5703125" style="331" hidden="1"/>
    <col min="3343" max="3343" width="5.7109375" style="331" hidden="1"/>
    <col min="3344" max="3584" width="9.140625" style="331" hidden="1"/>
    <col min="3585" max="3585" width="4.42578125" style="331" hidden="1"/>
    <col min="3586" max="3586" width="17.28515625" style="331" hidden="1"/>
    <col min="3587" max="3587" width="1.7109375" style="331" hidden="1"/>
    <col min="3588" max="3588" width="14.140625" style="331" hidden="1"/>
    <col min="3589" max="3589" width="2.5703125" style="331" hidden="1"/>
    <col min="3590" max="3591" width="11.28515625" style="331" hidden="1"/>
    <col min="3592" max="3592" width="12.28515625" style="331" hidden="1"/>
    <col min="3593" max="3597" width="11.28515625" style="331" hidden="1"/>
    <col min="3598" max="3598" width="5.5703125" style="331" hidden="1"/>
    <col min="3599" max="3599" width="5.7109375" style="331" hidden="1"/>
    <col min="3600" max="3840" width="9.140625" style="331" hidden="1"/>
    <col min="3841" max="3841" width="4.42578125" style="331" hidden="1"/>
    <col min="3842" max="3842" width="17.28515625" style="331" hidden="1"/>
    <col min="3843" max="3843" width="1.7109375" style="331" hidden="1"/>
    <col min="3844" max="3844" width="14.140625" style="331" hidden="1"/>
    <col min="3845" max="3845" width="2.5703125" style="331" hidden="1"/>
    <col min="3846" max="3847" width="11.28515625" style="331" hidden="1"/>
    <col min="3848" max="3848" width="12.28515625" style="331" hidden="1"/>
    <col min="3849" max="3853" width="11.28515625" style="331" hidden="1"/>
    <col min="3854" max="3854" width="5.5703125" style="331" hidden="1"/>
    <col min="3855" max="3855" width="5.7109375" style="331" hidden="1"/>
    <col min="3856" max="4096" width="9.140625" style="331" hidden="1"/>
    <col min="4097" max="4097" width="4.42578125" style="331" hidden="1"/>
    <col min="4098" max="4098" width="17.28515625" style="331" hidden="1"/>
    <col min="4099" max="4099" width="1.7109375" style="331" hidden="1"/>
    <col min="4100" max="4100" width="14.140625" style="331" hidden="1"/>
    <col min="4101" max="4101" width="2.5703125" style="331" hidden="1"/>
    <col min="4102" max="4103" width="11.28515625" style="331" hidden="1"/>
    <col min="4104" max="4104" width="12.28515625" style="331" hidden="1"/>
    <col min="4105" max="4109" width="11.28515625" style="331" hidden="1"/>
    <col min="4110" max="4110" width="5.5703125" style="331" hidden="1"/>
    <col min="4111" max="4111" width="5.7109375" style="331" hidden="1"/>
    <col min="4112" max="4352" width="9.140625" style="331" hidden="1"/>
    <col min="4353" max="4353" width="4.42578125" style="331" hidden="1"/>
    <col min="4354" max="4354" width="17.28515625" style="331" hidden="1"/>
    <col min="4355" max="4355" width="1.7109375" style="331" hidden="1"/>
    <col min="4356" max="4356" width="14.140625" style="331" hidden="1"/>
    <col min="4357" max="4357" width="2.5703125" style="331" hidden="1"/>
    <col min="4358" max="4359" width="11.28515625" style="331" hidden="1"/>
    <col min="4360" max="4360" width="12.28515625" style="331" hidden="1"/>
    <col min="4361" max="4365" width="11.28515625" style="331" hidden="1"/>
    <col min="4366" max="4366" width="5.5703125" style="331" hidden="1"/>
    <col min="4367" max="4367" width="5.7109375" style="331" hidden="1"/>
    <col min="4368" max="4608" width="9.140625" style="331" hidden="1"/>
    <col min="4609" max="4609" width="4.42578125" style="331" hidden="1"/>
    <col min="4610" max="4610" width="17.28515625" style="331" hidden="1"/>
    <col min="4611" max="4611" width="1.7109375" style="331" hidden="1"/>
    <col min="4612" max="4612" width="14.140625" style="331" hidden="1"/>
    <col min="4613" max="4613" width="2.5703125" style="331" hidden="1"/>
    <col min="4614" max="4615" width="11.28515625" style="331" hidden="1"/>
    <col min="4616" max="4616" width="12.28515625" style="331" hidden="1"/>
    <col min="4617" max="4621" width="11.28515625" style="331" hidden="1"/>
    <col min="4622" max="4622" width="5.5703125" style="331" hidden="1"/>
    <col min="4623" max="4623" width="5.7109375" style="331" hidden="1"/>
    <col min="4624" max="4864" width="9.140625" style="331" hidden="1"/>
    <col min="4865" max="4865" width="4.42578125" style="331" hidden="1"/>
    <col min="4866" max="4866" width="17.28515625" style="331" hidden="1"/>
    <col min="4867" max="4867" width="1.7109375" style="331" hidden="1"/>
    <col min="4868" max="4868" width="14.140625" style="331" hidden="1"/>
    <col min="4869" max="4869" width="2.5703125" style="331" hidden="1"/>
    <col min="4870" max="4871" width="11.28515625" style="331" hidden="1"/>
    <col min="4872" max="4872" width="12.28515625" style="331" hidden="1"/>
    <col min="4873" max="4877" width="11.28515625" style="331" hidden="1"/>
    <col min="4878" max="4878" width="5.5703125" style="331" hidden="1"/>
    <col min="4879" max="4879" width="5.7109375" style="331" hidden="1"/>
    <col min="4880" max="5120" width="9.140625" style="331" hidden="1"/>
    <col min="5121" max="5121" width="4.42578125" style="331" hidden="1"/>
    <col min="5122" max="5122" width="17.28515625" style="331" hidden="1"/>
    <col min="5123" max="5123" width="1.7109375" style="331" hidden="1"/>
    <col min="5124" max="5124" width="14.140625" style="331" hidden="1"/>
    <col min="5125" max="5125" width="2.5703125" style="331" hidden="1"/>
    <col min="5126" max="5127" width="11.28515625" style="331" hidden="1"/>
    <col min="5128" max="5128" width="12.28515625" style="331" hidden="1"/>
    <col min="5129" max="5133" width="11.28515625" style="331" hidden="1"/>
    <col min="5134" max="5134" width="5.5703125" style="331" hidden="1"/>
    <col min="5135" max="5135" width="5.7109375" style="331" hidden="1"/>
    <col min="5136" max="5376" width="9.140625" style="331" hidden="1"/>
    <col min="5377" max="5377" width="4.42578125" style="331" hidden="1"/>
    <col min="5378" max="5378" width="17.28515625" style="331" hidden="1"/>
    <col min="5379" max="5379" width="1.7109375" style="331" hidden="1"/>
    <col min="5380" max="5380" width="14.140625" style="331" hidden="1"/>
    <col min="5381" max="5381" width="2.5703125" style="331" hidden="1"/>
    <col min="5382" max="5383" width="11.28515625" style="331" hidden="1"/>
    <col min="5384" max="5384" width="12.28515625" style="331" hidden="1"/>
    <col min="5385" max="5389" width="11.28515625" style="331" hidden="1"/>
    <col min="5390" max="5390" width="5.5703125" style="331" hidden="1"/>
    <col min="5391" max="5391" width="5.7109375" style="331" hidden="1"/>
    <col min="5392" max="5632" width="9.140625" style="331" hidden="1"/>
    <col min="5633" max="5633" width="4.42578125" style="331" hidden="1"/>
    <col min="5634" max="5634" width="17.28515625" style="331" hidden="1"/>
    <col min="5635" max="5635" width="1.7109375" style="331" hidden="1"/>
    <col min="5636" max="5636" width="14.140625" style="331" hidden="1"/>
    <col min="5637" max="5637" width="2.5703125" style="331" hidden="1"/>
    <col min="5638" max="5639" width="11.28515625" style="331" hidden="1"/>
    <col min="5640" max="5640" width="12.28515625" style="331" hidden="1"/>
    <col min="5641" max="5645" width="11.28515625" style="331" hidden="1"/>
    <col min="5646" max="5646" width="5.5703125" style="331" hidden="1"/>
    <col min="5647" max="5647" width="5.7109375" style="331" hidden="1"/>
    <col min="5648" max="5888" width="9.140625" style="331" hidden="1"/>
    <col min="5889" max="5889" width="4.42578125" style="331" hidden="1"/>
    <col min="5890" max="5890" width="17.28515625" style="331" hidden="1"/>
    <col min="5891" max="5891" width="1.7109375" style="331" hidden="1"/>
    <col min="5892" max="5892" width="14.140625" style="331" hidden="1"/>
    <col min="5893" max="5893" width="2.5703125" style="331" hidden="1"/>
    <col min="5894" max="5895" width="11.28515625" style="331" hidden="1"/>
    <col min="5896" max="5896" width="12.28515625" style="331" hidden="1"/>
    <col min="5897" max="5901" width="11.28515625" style="331" hidden="1"/>
    <col min="5902" max="5902" width="5.5703125" style="331" hidden="1"/>
    <col min="5903" max="5903" width="5.7109375" style="331" hidden="1"/>
    <col min="5904" max="6144" width="9.140625" style="331" hidden="1"/>
    <col min="6145" max="6145" width="4.42578125" style="331" hidden="1"/>
    <col min="6146" max="6146" width="17.28515625" style="331" hidden="1"/>
    <col min="6147" max="6147" width="1.7109375" style="331" hidden="1"/>
    <col min="6148" max="6148" width="14.140625" style="331" hidden="1"/>
    <col min="6149" max="6149" width="2.5703125" style="331" hidden="1"/>
    <col min="6150" max="6151" width="11.28515625" style="331" hidden="1"/>
    <col min="6152" max="6152" width="12.28515625" style="331" hidden="1"/>
    <col min="6153" max="6157" width="11.28515625" style="331" hidden="1"/>
    <col min="6158" max="6158" width="5.5703125" style="331" hidden="1"/>
    <col min="6159" max="6159" width="5.7109375" style="331" hidden="1"/>
    <col min="6160" max="6400" width="9.140625" style="331" hidden="1"/>
    <col min="6401" max="6401" width="4.42578125" style="331" hidden="1"/>
    <col min="6402" max="6402" width="17.28515625" style="331" hidden="1"/>
    <col min="6403" max="6403" width="1.7109375" style="331" hidden="1"/>
    <col min="6404" max="6404" width="14.140625" style="331" hidden="1"/>
    <col min="6405" max="6405" width="2.5703125" style="331" hidden="1"/>
    <col min="6406" max="6407" width="11.28515625" style="331" hidden="1"/>
    <col min="6408" max="6408" width="12.28515625" style="331" hidden="1"/>
    <col min="6409" max="6413" width="11.28515625" style="331" hidden="1"/>
    <col min="6414" max="6414" width="5.5703125" style="331" hidden="1"/>
    <col min="6415" max="6415" width="5.7109375" style="331" hidden="1"/>
    <col min="6416" max="6656" width="9.140625" style="331" hidden="1"/>
    <col min="6657" max="6657" width="4.42578125" style="331" hidden="1"/>
    <col min="6658" max="6658" width="17.28515625" style="331" hidden="1"/>
    <col min="6659" max="6659" width="1.7109375" style="331" hidden="1"/>
    <col min="6660" max="6660" width="14.140625" style="331" hidden="1"/>
    <col min="6661" max="6661" width="2.5703125" style="331" hidden="1"/>
    <col min="6662" max="6663" width="11.28515625" style="331" hidden="1"/>
    <col min="6664" max="6664" width="12.28515625" style="331" hidden="1"/>
    <col min="6665" max="6669" width="11.28515625" style="331" hidden="1"/>
    <col min="6670" max="6670" width="5.5703125" style="331" hidden="1"/>
    <col min="6671" max="6671" width="5.7109375" style="331" hidden="1"/>
    <col min="6672" max="6912" width="9.140625" style="331" hidden="1"/>
    <col min="6913" max="6913" width="4.42578125" style="331" hidden="1"/>
    <col min="6914" max="6914" width="17.28515625" style="331" hidden="1"/>
    <col min="6915" max="6915" width="1.7109375" style="331" hidden="1"/>
    <col min="6916" max="6916" width="14.140625" style="331" hidden="1"/>
    <col min="6917" max="6917" width="2.5703125" style="331" hidden="1"/>
    <col min="6918" max="6919" width="11.28515625" style="331" hidden="1"/>
    <col min="6920" max="6920" width="12.28515625" style="331" hidden="1"/>
    <col min="6921" max="6925" width="11.28515625" style="331" hidden="1"/>
    <col min="6926" max="6926" width="5.5703125" style="331" hidden="1"/>
    <col min="6927" max="6927" width="5.7109375" style="331" hidden="1"/>
    <col min="6928" max="7168" width="9.140625" style="331" hidden="1"/>
    <col min="7169" max="7169" width="4.42578125" style="331" hidden="1"/>
    <col min="7170" max="7170" width="17.28515625" style="331" hidden="1"/>
    <col min="7171" max="7171" width="1.7109375" style="331" hidden="1"/>
    <col min="7172" max="7172" width="14.140625" style="331" hidden="1"/>
    <col min="7173" max="7173" width="2.5703125" style="331" hidden="1"/>
    <col min="7174" max="7175" width="11.28515625" style="331" hidden="1"/>
    <col min="7176" max="7176" width="12.28515625" style="331" hidden="1"/>
    <col min="7177" max="7181" width="11.28515625" style="331" hidden="1"/>
    <col min="7182" max="7182" width="5.5703125" style="331" hidden="1"/>
    <col min="7183" max="7183" width="5.7109375" style="331" hidden="1"/>
    <col min="7184" max="7424" width="9.140625" style="331" hidden="1"/>
    <col min="7425" max="7425" width="4.42578125" style="331" hidden="1"/>
    <col min="7426" max="7426" width="17.28515625" style="331" hidden="1"/>
    <col min="7427" max="7427" width="1.7109375" style="331" hidden="1"/>
    <col min="7428" max="7428" width="14.140625" style="331" hidden="1"/>
    <col min="7429" max="7429" width="2.5703125" style="331" hidden="1"/>
    <col min="7430" max="7431" width="11.28515625" style="331" hidden="1"/>
    <col min="7432" max="7432" width="12.28515625" style="331" hidden="1"/>
    <col min="7433" max="7437" width="11.28515625" style="331" hidden="1"/>
    <col min="7438" max="7438" width="5.5703125" style="331" hidden="1"/>
    <col min="7439" max="7439" width="5.7109375" style="331" hidden="1"/>
    <col min="7440" max="7680" width="9.140625" style="331" hidden="1"/>
    <col min="7681" max="7681" width="4.42578125" style="331" hidden="1"/>
    <col min="7682" max="7682" width="17.28515625" style="331" hidden="1"/>
    <col min="7683" max="7683" width="1.7109375" style="331" hidden="1"/>
    <col min="7684" max="7684" width="14.140625" style="331" hidden="1"/>
    <col min="7685" max="7685" width="2.5703125" style="331" hidden="1"/>
    <col min="7686" max="7687" width="11.28515625" style="331" hidden="1"/>
    <col min="7688" max="7688" width="12.28515625" style="331" hidden="1"/>
    <col min="7689" max="7693" width="11.28515625" style="331" hidden="1"/>
    <col min="7694" max="7694" width="5.5703125" style="331" hidden="1"/>
    <col min="7695" max="7695" width="5.7109375" style="331" hidden="1"/>
    <col min="7696" max="7936" width="9.140625" style="331" hidden="1"/>
    <col min="7937" max="7937" width="4.42578125" style="331" hidden="1"/>
    <col min="7938" max="7938" width="17.28515625" style="331" hidden="1"/>
    <col min="7939" max="7939" width="1.7109375" style="331" hidden="1"/>
    <col min="7940" max="7940" width="14.140625" style="331" hidden="1"/>
    <col min="7941" max="7941" width="2.5703125" style="331" hidden="1"/>
    <col min="7942" max="7943" width="11.28515625" style="331" hidden="1"/>
    <col min="7944" max="7944" width="12.28515625" style="331" hidden="1"/>
    <col min="7945" max="7949" width="11.28515625" style="331" hidden="1"/>
    <col min="7950" max="7950" width="5.5703125" style="331" hidden="1"/>
    <col min="7951" max="7951" width="5.7109375" style="331" hidden="1"/>
    <col min="7952" max="8192" width="9.140625" style="331" hidden="1"/>
    <col min="8193" max="8193" width="4.42578125" style="331" hidden="1"/>
    <col min="8194" max="8194" width="17.28515625" style="331" hidden="1"/>
    <col min="8195" max="8195" width="1.7109375" style="331" hidden="1"/>
    <col min="8196" max="8196" width="14.140625" style="331" hidden="1"/>
    <col min="8197" max="8197" width="2.5703125" style="331" hidden="1"/>
    <col min="8198" max="8199" width="11.28515625" style="331" hidden="1"/>
    <col min="8200" max="8200" width="12.28515625" style="331" hidden="1"/>
    <col min="8201" max="8205" width="11.28515625" style="331" hidden="1"/>
    <col min="8206" max="8206" width="5.5703125" style="331" hidden="1"/>
    <col min="8207" max="8207" width="5.7109375" style="331" hidden="1"/>
    <col min="8208" max="8448" width="9.140625" style="331" hidden="1"/>
    <col min="8449" max="8449" width="4.42578125" style="331" hidden="1"/>
    <col min="8450" max="8450" width="17.28515625" style="331" hidden="1"/>
    <col min="8451" max="8451" width="1.7109375" style="331" hidden="1"/>
    <col min="8452" max="8452" width="14.140625" style="331" hidden="1"/>
    <col min="8453" max="8453" width="2.5703125" style="331" hidden="1"/>
    <col min="8454" max="8455" width="11.28515625" style="331" hidden="1"/>
    <col min="8456" max="8456" width="12.28515625" style="331" hidden="1"/>
    <col min="8457" max="8461" width="11.28515625" style="331" hidden="1"/>
    <col min="8462" max="8462" width="5.5703125" style="331" hidden="1"/>
    <col min="8463" max="8463" width="5.7109375" style="331" hidden="1"/>
    <col min="8464" max="8704" width="9.140625" style="331" hidden="1"/>
    <col min="8705" max="8705" width="4.42578125" style="331" hidden="1"/>
    <col min="8706" max="8706" width="17.28515625" style="331" hidden="1"/>
    <col min="8707" max="8707" width="1.7109375" style="331" hidden="1"/>
    <col min="8708" max="8708" width="14.140625" style="331" hidden="1"/>
    <col min="8709" max="8709" width="2.5703125" style="331" hidden="1"/>
    <col min="8710" max="8711" width="11.28515625" style="331" hidden="1"/>
    <col min="8712" max="8712" width="12.28515625" style="331" hidden="1"/>
    <col min="8713" max="8717" width="11.28515625" style="331" hidden="1"/>
    <col min="8718" max="8718" width="5.5703125" style="331" hidden="1"/>
    <col min="8719" max="8719" width="5.7109375" style="331" hidden="1"/>
    <col min="8720" max="8960" width="9.140625" style="331" hidden="1"/>
    <col min="8961" max="8961" width="4.42578125" style="331" hidden="1"/>
    <col min="8962" max="8962" width="17.28515625" style="331" hidden="1"/>
    <col min="8963" max="8963" width="1.7109375" style="331" hidden="1"/>
    <col min="8964" max="8964" width="14.140625" style="331" hidden="1"/>
    <col min="8965" max="8965" width="2.5703125" style="331" hidden="1"/>
    <col min="8966" max="8967" width="11.28515625" style="331" hidden="1"/>
    <col min="8968" max="8968" width="12.28515625" style="331" hidden="1"/>
    <col min="8969" max="8973" width="11.28515625" style="331" hidden="1"/>
    <col min="8974" max="8974" width="5.5703125" style="331" hidden="1"/>
    <col min="8975" max="8975" width="5.7109375" style="331" hidden="1"/>
    <col min="8976" max="9216" width="9.140625" style="331" hidden="1"/>
    <col min="9217" max="9217" width="4.42578125" style="331" hidden="1"/>
    <col min="9218" max="9218" width="17.28515625" style="331" hidden="1"/>
    <col min="9219" max="9219" width="1.7109375" style="331" hidden="1"/>
    <col min="9220" max="9220" width="14.140625" style="331" hidden="1"/>
    <col min="9221" max="9221" width="2.5703125" style="331" hidden="1"/>
    <col min="9222" max="9223" width="11.28515625" style="331" hidden="1"/>
    <col min="9224" max="9224" width="12.28515625" style="331" hidden="1"/>
    <col min="9225" max="9229" width="11.28515625" style="331" hidden="1"/>
    <col min="9230" max="9230" width="5.5703125" style="331" hidden="1"/>
    <col min="9231" max="9231" width="5.7109375" style="331" hidden="1"/>
    <col min="9232" max="9472" width="9.140625" style="331" hidden="1"/>
    <col min="9473" max="9473" width="4.42578125" style="331" hidden="1"/>
    <col min="9474" max="9474" width="17.28515625" style="331" hidden="1"/>
    <col min="9475" max="9475" width="1.7109375" style="331" hidden="1"/>
    <col min="9476" max="9476" width="14.140625" style="331" hidden="1"/>
    <col min="9477" max="9477" width="2.5703125" style="331" hidden="1"/>
    <col min="9478" max="9479" width="11.28515625" style="331" hidden="1"/>
    <col min="9480" max="9480" width="12.28515625" style="331" hidden="1"/>
    <col min="9481" max="9485" width="11.28515625" style="331" hidden="1"/>
    <col min="9486" max="9486" width="5.5703125" style="331" hidden="1"/>
    <col min="9487" max="9487" width="5.7109375" style="331" hidden="1"/>
    <col min="9488" max="9728" width="9.140625" style="331" hidden="1"/>
    <col min="9729" max="9729" width="4.42578125" style="331" hidden="1"/>
    <col min="9730" max="9730" width="17.28515625" style="331" hidden="1"/>
    <col min="9731" max="9731" width="1.7109375" style="331" hidden="1"/>
    <col min="9732" max="9732" width="14.140625" style="331" hidden="1"/>
    <col min="9733" max="9733" width="2.5703125" style="331" hidden="1"/>
    <col min="9734" max="9735" width="11.28515625" style="331" hidden="1"/>
    <col min="9736" max="9736" width="12.28515625" style="331" hidden="1"/>
    <col min="9737" max="9741" width="11.28515625" style="331" hidden="1"/>
    <col min="9742" max="9742" width="5.5703125" style="331" hidden="1"/>
    <col min="9743" max="9743" width="5.7109375" style="331" hidden="1"/>
    <col min="9744" max="9984" width="9.140625" style="331" hidden="1"/>
    <col min="9985" max="9985" width="4.42578125" style="331" hidden="1"/>
    <col min="9986" max="9986" width="17.28515625" style="331" hidden="1"/>
    <col min="9987" max="9987" width="1.7109375" style="331" hidden="1"/>
    <col min="9988" max="9988" width="14.140625" style="331" hidden="1"/>
    <col min="9989" max="9989" width="2.5703125" style="331" hidden="1"/>
    <col min="9990" max="9991" width="11.28515625" style="331" hidden="1"/>
    <col min="9992" max="9992" width="12.28515625" style="331" hidden="1"/>
    <col min="9993" max="9997" width="11.28515625" style="331" hidden="1"/>
    <col min="9998" max="9998" width="5.5703125" style="331" hidden="1"/>
    <col min="9999" max="9999" width="5.7109375" style="331" hidden="1"/>
    <col min="10000" max="10240" width="9.140625" style="331" hidden="1"/>
    <col min="10241" max="10241" width="4.42578125" style="331" hidden="1"/>
    <col min="10242" max="10242" width="17.28515625" style="331" hidden="1"/>
    <col min="10243" max="10243" width="1.7109375" style="331" hidden="1"/>
    <col min="10244" max="10244" width="14.140625" style="331" hidden="1"/>
    <col min="10245" max="10245" width="2.5703125" style="331" hidden="1"/>
    <col min="10246" max="10247" width="11.28515625" style="331" hidden="1"/>
    <col min="10248" max="10248" width="12.28515625" style="331" hidden="1"/>
    <col min="10249" max="10253" width="11.28515625" style="331" hidden="1"/>
    <col min="10254" max="10254" width="5.5703125" style="331" hidden="1"/>
    <col min="10255" max="10255" width="5.7109375" style="331" hidden="1"/>
    <col min="10256" max="10496" width="9.140625" style="331" hidden="1"/>
    <col min="10497" max="10497" width="4.42578125" style="331" hidden="1"/>
    <col min="10498" max="10498" width="17.28515625" style="331" hidden="1"/>
    <col min="10499" max="10499" width="1.7109375" style="331" hidden="1"/>
    <col min="10500" max="10500" width="14.140625" style="331" hidden="1"/>
    <col min="10501" max="10501" width="2.5703125" style="331" hidden="1"/>
    <col min="10502" max="10503" width="11.28515625" style="331" hidden="1"/>
    <col min="10504" max="10504" width="12.28515625" style="331" hidden="1"/>
    <col min="10505" max="10509" width="11.28515625" style="331" hidden="1"/>
    <col min="10510" max="10510" width="5.5703125" style="331" hidden="1"/>
    <col min="10511" max="10511" width="5.7109375" style="331" hidden="1"/>
    <col min="10512" max="10752" width="9.140625" style="331" hidden="1"/>
    <col min="10753" max="10753" width="4.42578125" style="331" hidden="1"/>
    <col min="10754" max="10754" width="17.28515625" style="331" hidden="1"/>
    <col min="10755" max="10755" width="1.7109375" style="331" hidden="1"/>
    <col min="10756" max="10756" width="14.140625" style="331" hidden="1"/>
    <col min="10757" max="10757" width="2.5703125" style="331" hidden="1"/>
    <col min="10758" max="10759" width="11.28515625" style="331" hidden="1"/>
    <col min="10760" max="10760" width="12.28515625" style="331" hidden="1"/>
    <col min="10761" max="10765" width="11.28515625" style="331" hidden="1"/>
    <col min="10766" max="10766" width="5.5703125" style="331" hidden="1"/>
    <col min="10767" max="10767" width="5.7109375" style="331" hidden="1"/>
    <col min="10768" max="11008" width="9.140625" style="331" hidden="1"/>
    <col min="11009" max="11009" width="4.42578125" style="331" hidden="1"/>
    <col min="11010" max="11010" width="17.28515625" style="331" hidden="1"/>
    <col min="11011" max="11011" width="1.7109375" style="331" hidden="1"/>
    <col min="11012" max="11012" width="14.140625" style="331" hidden="1"/>
    <col min="11013" max="11013" width="2.5703125" style="331" hidden="1"/>
    <col min="11014" max="11015" width="11.28515625" style="331" hidden="1"/>
    <col min="11016" max="11016" width="12.28515625" style="331" hidden="1"/>
    <col min="11017" max="11021" width="11.28515625" style="331" hidden="1"/>
    <col min="11022" max="11022" width="5.5703125" style="331" hidden="1"/>
    <col min="11023" max="11023" width="5.7109375" style="331" hidden="1"/>
    <col min="11024" max="11264" width="9.140625" style="331" hidden="1"/>
    <col min="11265" max="11265" width="4.42578125" style="331" hidden="1"/>
    <col min="11266" max="11266" width="17.28515625" style="331" hidden="1"/>
    <col min="11267" max="11267" width="1.7109375" style="331" hidden="1"/>
    <col min="11268" max="11268" width="14.140625" style="331" hidden="1"/>
    <col min="11269" max="11269" width="2.5703125" style="331" hidden="1"/>
    <col min="11270" max="11271" width="11.28515625" style="331" hidden="1"/>
    <col min="11272" max="11272" width="12.28515625" style="331" hidden="1"/>
    <col min="11273" max="11277" width="11.28515625" style="331" hidden="1"/>
    <col min="11278" max="11278" width="5.5703125" style="331" hidden="1"/>
    <col min="11279" max="11279" width="5.7109375" style="331" hidden="1"/>
    <col min="11280" max="11520" width="9.140625" style="331" hidden="1"/>
    <col min="11521" max="11521" width="4.42578125" style="331" hidden="1"/>
    <col min="11522" max="11522" width="17.28515625" style="331" hidden="1"/>
    <col min="11523" max="11523" width="1.7109375" style="331" hidden="1"/>
    <col min="11524" max="11524" width="14.140625" style="331" hidden="1"/>
    <col min="11525" max="11525" width="2.5703125" style="331" hidden="1"/>
    <col min="11526" max="11527" width="11.28515625" style="331" hidden="1"/>
    <col min="11528" max="11528" width="12.28515625" style="331" hidden="1"/>
    <col min="11529" max="11533" width="11.28515625" style="331" hidden="1"/>
    <col min="11534" max="11534" width="5.5703125" style="331" hidden="1"/>
    <col min="11535" max="11535" width="5.7109375" style="331" hidden="1"/>
    <col min="11536" max="11776" width="9.140625" style="331" hidden="1"/>
    <col min="11777" max="11777" width="4.42578125" style="331" hidden="1"/>
    <col min="11778" max="11778" width="17.28515625" style="331" hidden="1"/>
    <col min="11779" max="11779" width="1.7109375" style="331" hidden="1"/>
    <col min="11780" max="11780" width="14.140625" style="331" hidden="1"/>
    <col min="11781" max="11781" width="2.5703125" style="331" hidden="1"/>
    <col min="11782" max="11783" width="11.28515625" style="331" hidden="1"/>
    <col min="11784" max="11784" width="12.28515625" style="331" hidden="1"/>
    <col min="11785" max="11789" width="11.28515625" style="331" hidden="1"/>
    <col min="11790" max="11790" width="5.5703125" style="331" hidden="1"/>
    <col min="11791" max="11791" width="5.7109375" style="331" hidden="1"/>
    <col min="11792" max="12032" width="9.140625" style="331" hidden="1"/>
    <col min="12033" max="12033" width="4.42578125" style="331" hidden="1"/>
    <col min="12034" max="12034" width="17.28515625" style="331" hidden="1"/>
    <col min="12035" max="12035" width="1.7109375" style="331" hidden="1"/>
    <col min="12036" max="12036" width="14.140625" style="331" hidden="1"/>
    <col min="12037" max="12037" width="2.5703125" style="331" hidden="1"/>
    <col min="12038" max="12039" width="11.28515625" style="331" hidden="1"/>
    <col min="12040" max="12040" width="12.28515625" style="331" hidden="1"/>
    <col min="12041" max="12045" width="11.28515625" style="331" hidden="1"/>
    <col min="12046" max="12046" width="5.5703125" style="331" hidden="1"/>
    <col min="12047" max="12047" width="5.7109375" style="331" hidden="1"/>
    <col min="12048" max="12288" width="9.140625" style="331" hidden="1"/>
    <col min="12289" max="12289" width="4.42578125" style="331" hidden="1"/>
    <col min="12290" max="12290" width="17.28515625" style="331" hidden="1"/>
    <col min="12291" max="12291" width="1.7109375" style="331" hidden="1"/>
    <col min="12292" max="12292" width="14.140625" style="331" hidden="1"/>
    <col min="12293" max="12293" width="2.5703125" style="331" hidden="1"/>
    <col min="12294" max="12295" width="11.28515625" style="331" hidden="1"/>
    <col min="12296" max="12296" width="12.28515625" style="331" hidden="1"/>
    <col min="12297" max="12301" width="11.28515625" style="331" hidden="1"/>
    <col min="12302" max="12302" width="5.5703125" style="331" hidden="1"/>
    <col min="12303" max="12303" width="5.7109375" style="331" hidden="1"/>
    <col min="12304" max="12544" width="9.140625" style="331" hidden="1"/>
    <col min="12545" max="12545" width="4.42578125" style="331" hidden="1"/>
    <col min="12546" max="12546" width="17.28515625" style="331" hidden="1"/>
    <col min="12547" max="12547" width="1.7109375" style="331" hidden="1"/>
    <col min="12548" max="12548" width="14.140625" style="331" hidden="1"/>
    <col min="12549" max="12549" width="2.5703125" style="331" hidden="1"/>
    <col min="12550" max="12551" width="11.28515625" style="331" hidden="1"/>
    <col min="12552" max="12552" width="12.28515625" style="331" hidden="1"/>
    <col min="12553" max="12557" width="11.28515625" style="331" hidden="1"/>
    <col min="12558" max="12558" width="5.5703125" style="331" hidden="1"/>
    <col min="12559" max="12559" width="5.7109375" style="331" hidden="1"/>
    <col min="12560" max="12800" width="9.140625" style="331" hidden="1"/>
    <col min="12801" max="12801" width="4.42578125" style="331" hidden="1"/>
    <col min="12802" max="12802" width="17.28515625" style="331" hidden="1"/>
    <col min="12803" max="12803" width="1.7109375" style="331" hidden="1"/>
    <col min="12804" max="12804" width="14.140625" style="331" hidden="1"/>
    <col min="12805" max="12805" width="2.5703125" style="331" hidden="1"/>
    <col min="12806" max="12807" width="11.28515625" style="331" hidden="1"/>
    <col min="12808" max="12808" width="12.28515625" style="331" hidden="1"/>
    <col min="12809" max="12813" width="11.28515625" style="331" hidden="1"/>
    <col min="12814" max="12814" width="5.5703125" style="331" hidden="1"/>
    <col min="12815" max="12815" width="5.7109375" style="331" hidden="1"/>
    <col min="12816" max="13056" width="9.140625" style="331" hidden="1"/>
    <col min="13057" max="13057" width="4.42578125" style="331" hidden="1"/>
    <col min="13058" max="13058" width="17.28515625" style="331" hidden="1"/>
    <col min="13059" max="13059" width="1.7109375" style="331" hidden="1"/>
    <col min="13060" max="13060" width="14.140625" style="331" hidden="1"/>
    <col min="13061" max="13061" width="2.5703125" style="331" hidden="1"/>
    <col min="13062" max="13063" width="11.28515625" style="331" hidden="1"/>
    <col min="13064" max="13064" width="12.28515625" style="331" hidden="1"/>
    <col min="13065" max="13069" width="11.28515625" style="331" hidden="1"/>
    <col min="13070" max="13070" width="5.5703125" style="331" hidden="1"/>
    <col min="13071" max="13071" width="5.7109375" style="331" hidden="1"/>
    <col min="13072" max="13312" width="9.140625" style="331" hidden="1"/>
    <col min="13313" max="13313" width="4.42578125" style="331" hidden="1"/>
    <col min="13314" max="13314" width="17.28515625" style="331" hidden="1"/>
    <col min="13315" max="13315" width="1.7109375" style="331" hidden="1"/>
    <col min="13316" max="13316" width="14.140625" style="331" hidden="1"/>
    <col min="13317" max="13317" width="2.5703125" style="331" hidden="1"/>
    <col min="13318" max="13319" width="11.28515625" style="331" hidden="1"/>
    <col min="13320" max="13320" width="12.28515625" style="331" hidden="1"/>
    <col min="13321" max="13325" width="11.28515625" style="331" hidden="1"/>
    <col min="13326" max="13326" width="5.5703125" style="331" hidden="1"/>
    <col min="13327" max="13327" width="5.7109375" style="331" hidden="1"/>
    <col min="13328" max="13568" width="9.140625" style="331" hidden="1"/>
    <col min="13569" max="13569" width="4.42578125" style="331" hidden="1"/>
    <col min="13570" max="13570" width="17.28515625" style="331" hidden="1"/>
    <col min="13571" max="13571" width="1.7109375" style="331" hidden="1"/>
    <col min="13572" max="13572" width="14.140625" style="331" hidden="1"/>
    <col min="13573" max="13573" width="2.5703125" style="331" hidden="1"/>
    <col min="13574" max="13575" width="11.28515625" style="331" hidden="1"/>
    <col min="13576" max="13576" width="12.28515625" style="331" hidden="1"/>
    <col min="13577" max="13581" width="11.28515625" style="331" hidden="1"/>
    <col min="13582" max="13582" width="5.5703125" style="331" hidden="1"/>
    <col min="13583" max="13583" width="5.7109375" style="331" hidden="1"/>
    <col min="13584" max="13824" width="9.140625" style="331" hidden="1"/>
    <col min="13825" max="13825" width="4.42578125" style="331" hidden="1"/>
    <col min="13826" max="13826" width="17.28515625" style="331" hidden="1"/>
    <col min="13827" max="13827" width="1.7109375" style="331" hidden="1"/>
    <col min="13828" max="13828" width="14.140625" style="331" hidden="1"/>
    <col min="13829" max="13829" width="2.5703125" style="331" hidden="1"/>
    <col min="13830" max="13831" width="11.28515625" style="331" hidden="1"/>
    <col min="13832" max="13832" width="12.28515625" style="331" hidden="1"/>
    <col min="13833" max="13837" width="11.28515625" style="331" hidden="1"/>
    <col min="13838" max="13838" width="5.5703125" style="331" hidden="1"/>
    <col min="13839" max="13839" width="5.7109375" style="331" hidden="1"/>
    <col min="13840" max="14080" width="9.140625" style="331" hidden="1"/>
    <col min="14081" max="14081" width="4.42578125" style="331" hidden="1"/>
    <col min="14082" max="14082" width="17.28515625" style="331" hidden="1"/>
    <col min="14083" max="14083" width="1.7109375" style="331" hidden="1"/>
    <col min="14084" max="14084" width="14.140625" style="331" hidden="1"/>
    <col min="14085" max="14085" width="2.5703125" style="331" hidden="1"/>
    <col min="14086" max="14087" width="11.28515625" style="331" hidden="1"/>
    <col min="14088" max="14088" width="12.28515625" style="331" hidden="1"/>
    <col min="14089" max="14093" width="11.28515625" style="331" hidden="1"/>
    <col min="14094" max="14094" width="5.5703125" style="331" hidden="1"/>
    <col min="14095" max="14095" width="5.7109375" style="331" hidden="1"/>
    <col min="14096" max="14336" width="9.140625" style="331" hidden="1"/>
    <col min="14337" max="14337" width="4.42578125" style="331" hidden="1"/>
    <col min="14338" max="14338" width="17.28515625" style="331" hidden="1"/>
    <col min="14339" max="14339" width="1.7109375" style="331" hidden="1"/>
    <col min="14340" max="14340" width="14.140625" style="331" hidden="1"/>
    <col min="14341" max="14341" width="2.5703125" style="331" hidden="1"/>
    <col min="14342" max="14343" width="11.28515625" style="331" hidden="1"/>
    <col min="14344" max="14344" width="12.28515625" style="331" hidden="1"/>
    <col min="14345" max="14349" width="11.28515625" style="331" hidden="1"/>
    <col min="14350" max="14350" width="5.5703125" style="331" hidden="1"/>
    <col min="14351" max="14351" width="5.7109375" style="331" hidden="1"/>
    <col min="14352" max="14592" width="9.140625" style="331" hidden="1"/>
    <col min="14593" max="14593" width="4.42578125" style="331" hidden="1"/>
    <col min="14594" max="14594" width="17.28515625" style="331" hidden="1"/>
    <col min="14595" max="14595" width="1.7109375" style="331" hidden="1"/>
    <col min="14596" max="14596" width="14.140625" style="331" hidden="1"/>
    <col min="14597" max="14597" width="2.5703125" style="331" hidden="1"/>
    <col min="14598" max="14599" width="11.28515625" style="331" hidden="1"/>
    <col min="14600" max="14600" width="12.28515625" style="331" hidden="1"/>
    <col min="14601" max="14605" width="11.28515625" style="331" hidden="1"/>
    <col min="14606" max="14606" width="5.5703125" style="331" hidden="1"/>
    <col min="14607" max="14607" width="5.7109375" style="331" hidden="1"/>
    <col min="14608" max="14848" width="9.140625" style="331" hidden="1"/>
    <col min="14849" max="14849" width="4.42578125" style="331" hidden="1"/>
    <col min="14850" max="14850" width="17.28515625" style="331" hidden="1"/>
    <col min="14851" max="14851" width="1.7109375" style="331" hidden="1"/>
    <col min="14852" max="14852" width="14.140625" style="331" hidden="1"/>
    <col min="14853" max="14853" width="2.5703125" style="331" hidden="1"/>
    <col min="14854" max="14855" width="11.28515625" style="331" hidden="1"/>
    <col min="14856" max="14856" width="12.28515625" style="331" hidden="1"/>
    <col min="14857" max="14861" width="11.28515625" style="331" hidden="1"/>
    <col min="14862" max="14862" width="5.5703125" style="331" hidden="1"/>
    <col min="14863" max="14863" width="5.7109375" style="331" hidden="1"/>
    <col min="14864" max="15104" width="9.140625" style="331" hidden="1"/>
    <col min="15105" max="15105" width="4.42578125" style="331" hidden="1"/>
    <col min="15106" max="15106" width="17.28515625" style="331" hidden="1"/>
    <col min="15107" max="15107" width="1.7109375" style="331" hidden="1"/>
    <col min="15108" max="15108" width="14.140625" style="331" hidden="1"/>
    <col min="15109" max="15109" width="2.5703125" style="331" hidden="1"/>
    <col min="15110" max="15111" width="11.28515625" style="331" hidden="1"/>
    <col min="15112" max="15112" width="12.28515625" style="331" hidden="1"/>
    <col min="15113" max="15117" width="11.28515625" style="331" hidden="1"/>
    <col min="15118" max="15118" width="5.5703125" style="331" hidden="1"/>
    <col min="15119" max="15119" width="5.7109375" style="331" hidden="1"/>
    <col min="15120" max="15360" width="9.140625" style="331" hidden="1"/>
    <col min="15361" max="15361" width="4.42578125" style="331" hidden="1"/>
    <col min="15362" max="15362" width="17.28515625" style="331" hidden="1"/>
    <col min="15363" max="15363" width="1.7109375" style="331" hidden="1"/>
    <col min="15364" max="15364" width="14.140625" style="331" hidden="1"/>
    <col min="15365" max="15365" width="2.5703125" style="331" hidden="1"/>
    <col min="15366" max="15367" width="11.28515625" style="331" hidden="1"/>
    <col min="15368" max="15368" width="12.28515625" style="331" hidden="1"/>
    <col min="15369" max="15373" width="11.28515625" style="331" hidden="1"/>
    <col min="15374" max="15374" width="5.5703125" style="331" hidden="1"/>
    <col min="15375" max="15375" width="5.7109375" style="331" hidden="1"/>
    <col min="15376" max="15616" width="9.140625" style="331" hidden="1"/>
    <col min="15617" max="15617" width="4.42578125" style="331" hidden="1"/>
    <col min="15618" max="15618" width="17.28515625" style="331" hidden="1"/>
    <col min="15619" max="15619" width="1.7109375" style="331" hidden="1"/>
    <col min="15620" max="15620" width="14.140625" style="331" hidden="1"/>
    <col min="15621" max="15621" width="2.5703125" style="331" hidden="1"/>
    <col min="15622" max="15623" width="11.28515625" style="331" hidden="1"/>
    <col min="15624" max="15624" width="12.28515625" style="331" hidden="1"/>
    <col min="15625" max="15629" width="11.28515625" style="331" hidden="1"/>
    <col min="15630" max="15630" width="5.5703125" style="331" hidden="1"/>
    <col min="15631" max="15631" width="5.7109375" style="331" hidden="1"/>
    <col min="15632" max="15872" width="9.140625" style="331" hidden="1"/>
    <col min="15873" max="15873" width="4.42578125" style="331" hidden="1"/>
    <col min="15874" max="15874" width="17.28515625" style="331" hidden="1"/>
    <col min="15875" max="15875" width="1.7109375" style="331" hidden="1"/>
    <col min="15876" max="15876" width="14.140625" style="331" hidden="1"/>
    <col min="15877" max="15877" width="2.5703125" style="331" hidden="1"/>
    <col min="15878" max="15879" width="11.28515625" style="331" hidden="1"/>
    <col min="15880" max="15880" width="12.28515625" style="331" hidden="1"/>
    <col min="15881" max="15885" width="11.28515625" style="331" hidden="1"/>
    <col min="15886" max="15886" width="5.5703125" style="331" hidden="1"/>
    <col min="15887" max="15887" width="5.7109375" style="331" hidden="1"/>
    <col min="15888" max="16128" width="9.140625" style="331" hidden="1"/>
    <col min="16129" max="16129" width="4.42578125" style="331" hidden="1"/>
    <col min="16130" max="16130" width="17.28515625" style="331" hidden="1"/>
    <col min="16131" max="16131" width="1.7109375" style="331" hidden="1"/>
    <col min="16132" max="16132" width="14.140625" style="331" hidden="1"/>
    <col min="16133" max="16133" width="2.5703125" style="331" hidden="1"/>
    <col min="16134" max="16135" width="11.28515625" style="331" hidden="1"/>
    <col min="16136" max="16136" width="12.28515625" style="331" hidden="1"/>
    <col min="16137" max="16141" width="11.28515625" style="331" hidden="1"/>
    <col min="16142" max="16142" width="5.5703125" style="331" hidden="1"/>
    <col min="16143" max="16143" width="5.7109375" style="331" hidden="1"/>
    <col min="16144" max="16384" width="9.140625" style="331" hidden="1"/>
  </cols>
  <sheetData>
    <row r="2" spans="1:19" s="25" customFormat="1" ht="58.15" customHeight="1" x14ac:dyDescent="0.25">
      <c r="A2" s="2"/>
      <c r="B2" s="38" t="s">
        <v>259</v>
      </c>
      <c r="C2" s="38"/>
      <c r="D2" s="38"/>
      <c r="E2" s="38"/>
      <c r="F2" s="38"/>
      <c r="G2" s="38"/>
      <c r="H2" s="38"/>
      <c r="I2" s="38"/>
      <c r="J2" s="38"/>
      <c r="K2" s="38"/>
      <c r="L2" s="38"/>
      <c r="M2" s="38"/>
      <c r="N2" s="38"/>
      <c r="O2" s="348"/>
      <c r="P2" s="2"/>
      <c r="Q2" s="2"/>
      <c r="R2" s="2"/>
      <c r="S2" s="2"/>
    </row>
    <row r="3" spans="1:19" ht="15" x14ac:dyDescent="0.2">
      <c r="B3" s="332"/>
      <c r="C3" s="333"/>
      <c r="D3" s="333"/>
      <c r="E3" s="333"/>
      <c r="F3" s="333"/>
      <c r="G3" s="333"/>
      <c r="H3" s="333"/>
      <c r="I3" s="333"/>
      <c r="J3" s="333"/>
      <c r="K3" s="333"/>
      <c r="L3" s="333"/>
      <c r="M3" s="333"/>
      <c r="N3" s="333"/>
      <c r="O3" s="349"/>
    </row>
    <row r="4" spans="1:19" ht="15" x14ac:dyDescent="0.25">
      <c r="B4" s="334" t="s">
        <v>71</v>
      </c>
      <c r="C4" s="335"/>
      <c r="D4" s="334" t="s">
        <v>72</v>
      </c>
      <c r="E4" s="336"/>
      <c r="F4" s="337" t="s">
        <v>73</v>
      </c>
      <c r="G4" s="338"/>
      <c r="H4" s="338"/>
      <c r="I4" s="338"/>
      <c r="J4" s="338"/>
      <c r="K4" s="338"/>
      <c r="L4" s="338"/>
      <c r="M4" s="338"/>
      <c r="N4" s="338"/>
    </row>
    <row r="5" spans="1:19" ht="9" customHeight="1" x14ac:dyDescent="0.2"/>
    <row r="6" spans="1:19" ht="95.25" customHeight="1" x14ac:dyDescent="0.2">
      <c r="B6" s="351" t="s">
        <v>347</v>
      </c>
      <c r="D6" s="340">
        <v>43873</v>
      </c>
      <c r="F6" s="417" t="s">
        <v>346</v>
      </c>
      <c r="G6" s="421"/>
      <c r="H6" s="421"/>
      <c r="I6" s="421"/>
      <c r="J6" s="421"/>
      <c r="K6" s="421"/>
      <c r="L6" s="421"/>
      <c r="M6" s="421"/>
      <c r="N6" s="421"/>
    </row>
    <row r="8" spans="1:19" ht="15" x14ac:dyDescent="0.25">
      <c r="B8" s="334" t="s">
        <v>330</v>
      </c>
      <c r="C8" s="335"/>
      <c r="D8" s="334" t="s">
        <v>72</v>
      </c>
      <c r="E8" s="336"/>
      <c r="F8" s="337" t="s">
        <v>73</v>
      </c>
      <c r="G8" s="338"/>
      <c r="H8" s="338"/>
      <c r="I8" s="338"/>
      <c r="J8" s="338"/>
      <c r="K8" s="338"/>
      <c r="L8" s="338"/>
      <c r="M8" s="338"/>
      <c r="N8" s="338"/>
    </row>
    <row r="10" spans="1:19" ht="15" x14ac:dyDescent="0.2">
      <c r="B10" s="339" t="s">
        <v>328</v>
      </c>
      <c r="D10" s="340">
        <v>43426</v>
      </c>
      <c r="F10" s="416" t="s">
        <v>329</v>
      </c>
      <c r="G10" s="417"/>
      <c r="H10" s="417"/>
      <c r="I10" s="417"/>
      <c r="J10" s="417"/>
      <c r="K10" s="417"/>
      <c r="L10" s="417"/>
      <c r="M10" s="417"/>
      <c r="N10" s="417"/>
    </row>
    <row r="11" spans="1:19" ht="48" customHeight="1" x14ac:dyDescent="0.2">
      <c r="B11" s="341">
        <v>1.9</v>
      </c>
      <c r="D11" s="340">
        <v>43396</v>
      </c>
      <c r="F11" s="416" t="s">
        <v>281</v>
      </c>
      <c r="G11" s="417"/>
      <c r="H11" s="417"/>
      <c r="I11" s="417"/>
      <c r="J11" s="417"/>
      <c r="K11" s="417"/>
      <c r="L11" s="417"/>
      <c r="M11" s="417"/>
      <c r="N11" s="417"/>
    </row>
    <row r="12" spans="1:19" ht="62.25" customHeight="1" x14ac:dyDescent="0.2">
      <c r="B12" s="341">
        <v>1.8</v>
      </c>
      <c r="D12" s="340">
        <v>43311</v>
      </c>
      <c r="F12" s="416" t="s">
        <v>275</v>
      </c>
      <c r="G12" s="417"/>
      <c r="H12" s="417"/>
      <c r="I12" s="417"/>
      <c r="J12" s="417"/>
      <c r="K12" s="417"/>
      <c r="L12" s="417"/>
      <c r="M12" s="417"/>
      <c r="N12" s="417"/>
    </row>
    <row r="13" spans="1:19" ht="15" x14ac:dyDescent="0.2">
      <c r="B13" s="341">
        <v>1.7</v>
      </c>
      <c r="D13" s="340">
        <v>43258</v>
      </c>
      <c r="F13" s="416" t="s">
        <v>274</v>
      </c>
      <c r="G13" s="417"/>
      <c r="H13" s="417"/>
      <c r="I13" s="417"/>
      <c r="J13" s="417"/>
      <c r="K13" s="417"/>
      <c r="L13" s="417"/>
      <c r="M13" s="417"/>
      <c r="N13" s="417"/>
    </row>
    <row r="14" spans="1:19" ht="48" customHeight="1" x14ac:dyDescent="0.2">
      <c r="B14" s="341">
        <v>1.6</v>
      </c>
      <c r="D14" s="340">
        <v>43220</v>
      </c>
      <c r="F14" s="416" t="s">
        <v>270</v>
      </c>
      <c r="G14" s="417"/>
      <c r="H14" s="417"/>
      <c r="I14" s="417"/>
      <c r="J14" s="417"/>
      <c r="K14" s="417"/>
      <c r="L14" s="417"/>
      <c r="M14" s="417"/>
      <c r="N14" s="417"/>
    </row>
    <row r="15" spans="1:19" ht="33.75" customHeight="1" x14ac:dyDescent="0.2">
      <c r="B15" s="341">
        <v>1.5</v>
      </c>
      <c r="D15" s="340">
        <v>43203</v>
      </c>
      <c r="F15" s="416" t="s">
        <v>269</v>
      </c>
      <c r="G15" s="417"/>
      <c r="H15" s="417"/>
      <c r="I15" s="417"/>
      <c r="J15" s="417"/>
      <c r="K15" s="417"/>
      <c r="L15" s="417"/>
      <c r="M15" s="417"/>
      <c r="N15" s="417"/>
    </row>
    <row r="16" spans="1:19" ht="15" customHeight="1" x14ac:dyDescent="0.2">
      <c r="B16" s="342" t="s">
        <v>260</v>
      </c>
      <c r="D16" s="340">
        <v>43185</v>
      </c>
      <c r="F16" s="418" t="s">
        <v>74</v>
      </c>
      <c r="G16" s="419"/>
      <c r="H16" s="419"/>
      <c r="I16" s="419"/>
      <c r="J16" s="419"/>
      <c r="K16" s="419"/>
      <c r="L16" s="419"/>
      <c r="M16" s="419"/>
      <c r="N16" s="420"/>
    </row>
  </sheetData>
  <sheetProtection algorithmName="SHA-512" hashValue="PZOcQjKdoCaBbHl28wcEpAKFZfGbJ6s5CAjoFLqKnsiX69qNv4QkxdPg3l8pMcEgRtmwD61qtpeq+ckVbr9ufw==" saltValue="/+A+S/0s1UsxNNN4S+rV3w==" spinCount="100000" sheet="1" selectLockedCells="1" selectUnlockedCells="1"/>
  <mergeCells count="8">
    <mergeCell ref="F15:N15"/>
    <mergeCell ref="F16:N16"/>
    <mergeCell ref="F6:N6"/>
    <mergeCell ref="F10:N10"/>
    <mergeCell ref="F11:N11"/>
    <mergeCell ref="F12:N12"/>
    <mergeCell ref="F13:N13"/>
    <mergeCell ref="F14:N14"/>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2C160-834B-4E21-9EFA-0B2ED11C5439}">
  <dimension ref="A2:WVW10"/>
  <sheetViews>
    <sheetView showGridLines="0" zoomScaleNormal="100" workbookViewId="0"/>
  </sheetViews>
  <sheetFormatPr defaultColWidth="0" defaultRowHeight="12.75" x14ac:dyDescent="0.2"/>
  <cols>
    <col min="1" max="1" width="4.42578125" style="331" customWidth="1"/>
    <col min="2" max="2" width="17.28515625" style="331" customWidth="1"/>
    <col min="3" max="3" width="1.7109375" style="331" customWidth="1"/>
    <col min="4" max="4" width="14.140625" style="331" customWidth="1"/>
    <col min="5" max="5" width="2.5703125" style="331" customWidth="1"/>
    <col min="6" max="7" width="11.28515625" style="331" customWidth="1"/>
    <col min="8" max="8" width="12.28515625" style="331" customWidth="1"/>
    <col min="9" max="13" width="11.28515625" style="331" customWidth="1"/>
    <col min="14" max="14" width="5.5703125" style="331" customWidth="1"/>
    <col min="15" max="15" width="5.7109375" style="331" customWidth="1"/>
    <col min="16" max="19" width="9.140625" style="331" hidden="1" customWidth="1"/>
    <col min="20" max="256" width="9.140625" style="331" hidden="1"/>
    <col min="257" max="257" width="4.42578125" style="331" hidden="1"/>
    <col min="258" max="258" width="17.28515625" style="331" hidden="1"/>
    <col min="259" max="259" width="1.7109375" style="331" hidden="1"/>
    <col min="260" max="260" width="14.140625" style="331" hidden="1"/>
    <col min="261" max="261" width="2.5703125" style="331" hidden="1"/>
    <col min="262" max="263" width="11.28515625" style="331" hidden="1"/>
    <col min="264" max="264" width="12.28515625" style="331" hidden="1"/>
    <col min="265" max="269" width="11.28515625" style="331" hidden="1"/>
    <col min="270" max="270" width="5.5703125" style="331" hidden="1"/>
    <col min="271" max="271" width="5.7109375" style="331" hidden="1"/>
    <col min="272" max="512" width="9.140625" style="331" hidden="1"/>
    <col min="513" max="513" width="4.42578125" style="331" hidden="1"/>
    <col min="514" max="514" width="17.28515625" style="331" hidden="1"/>
    <col min="515" max="515" width="1.7109375" style="331" hidden="1"/>
    <col min="516" max="516" width="14.140625" style="331" hidden="1"/>
    <col min="517" max="517" width="2.5703125" style="331" hidden="1"/>
    <col min="518" max="519" width="11.28515625" style="331" hidden="1"/>
    <col min="520" max="520" width="12.28515625" style="331" hidden="1"/>
    <col min="521" max="525" width="11.28515625" style="331" hidden="1"/>
    <col min="526" max="526" width="5.5703125" style="331" hidden="1"/>
    <col min="527" max="527" width="5.7109375" style="331" hidden="1"/>
    <col min="528" max="768" width="9.140625" style="331" hidden="1"/>
    <col min="769" max="769" width="4.42578125" style="331" hidden="1"/>
    <col min="770" max="770" width="17.28515625" style="331" hidden="1"/>
    <col min="771" max="771" width="1.7109375" style="331" hidden="1"/>
    <col min="772" max="772" width="14.140625" style="331" hidden="1"/>
    <col min="773" max="773" width="2.5703125" style="331" hidden="1"/>
    <col min="774" max="775" width="11.28515625" style="331" hidden="1"/>
    <col min="776" max="776" width="12.28515625" style="331" hidden="1"/>
    <col min="777" max="781" width="11.28515625" style="331" hidden="1"/>
    <col min="782" max="782" width="5.5703125" style="331" hidden="1"/>
    <col min="783" max="783" width="5.7109375" style="331" hidden="1"/>
    <col min="784" max="1024" width="9.140625" style="331" hidden="1"/>
    <col min="1025" max="1025" width="4.42578125" style="331" hidden="1"/>
    <col min="1026" max="1026" width="17.28515625" style="331" hidden="1"/>
    <col min="1027" max="1027" width="1.7109375" style="331" hidden="1"/>
    <col min="1028" max="1028" width="14.140625" style="331" hidden="1"/>
    <col min="1029" max="1029" width="2.5703125" style="331" hidden="1"/>
    <col min="1030" max="1031" width="11.28515625" style="331" hidden="1"/>
    <col min="1032" max="1032" width="12.28515625" style="331" hidden="1"/>
    <col min="1033" max="1037" width="11.28515625" style="331" hidden="1"/>
    <col min="1038" max="1038" width="5.5703125" style="331" hidden="1"/>
    <col min="1039" max="1039" width="5.7109375" style="331" hidden="1"/>
    <col min="1040" max="1280" width="9.140625" style="331" hidden="1"/>
    <col min="1281" max="1281" width="4.42578125" style="331" hidden="1"/>
    <col min="1282" max="1282" width="17.28515625" style="331" hidden="1"/>
    <col min="1283" max="1283" width="1.7109375" style="331" hidden="1"/>
    <col min="1284" max="1284" width="14.140625" style="331" hidden="1"/>
    <col min="1285" max="1285" width="2.5703125" style="331" hidden="1"/>
    <col min="1286" max="1287" width="11.28515625" style="331" hidden="1"/>
    <col min="1288" max="1288" width="12.28515625" style="331" hidden="1"/>
    <col min="1289" max="1293" width="11.28515625" style="331" hidden="1"/>
    <col min="1294" max="1294" width="5.5703125" style="331" hidden="1"/>
    <col min="1295" max="1295" width="5.7109375" style="331" hidden="1"/>
    <col min="1296" max="1536" width="9.140625" style="331" hidden="1"/>
    <col min="1537" max="1537" width="4.42578125" style="331" hidden="1"/>
    <col min="1538" max="1538" width="17.28515625" style="331" hidden="1"/>
    <col min="1539" max="1539" width="1.7109375" style="331" hidden="1"/>
    <col min="1540" max="1540" width="14.140625" style="331" hidden="1"/>
    <col min="1541" max="1541" width="2.5703125" style="331" hidden="1"/>
    <col min="1542" max="1543" width="11.28515625" style="331" hidden="1"/>
    <col min="1544" max="1544" width="12.28515625" style="331" hidden="1"/>
    <col min="1545" max="1549" width="11.28515625" style="331" hidden="1"/>
    <col min="1550" max="1550" width="5.5703125" style="331" hidden="1"/>
    <col min="1551" max="1551" width="5.7109375" style="331" hidden="1"/>
    <col min="1552" max="1792" width="9.140625" style="331" hidden="1"/>
    <col min="1793" max="1793" width="4.42578125" style="331" hidden="1"/>
    <col min="1794" max="1794" width="17.28515625" style="331" hidden="1"/>
    <col min="1795" max="1795" width="1.7109375" style="331" hidden="1"/>
    <col min="1796" max="1796" width="14.140625" style="331" hidden="1"/>
    <col min="1797" max="1797" width="2.5703125" style="331" hidden="1"/>
    <col min="1798" max="1799" width="11.28515625" style="331" hidden="1"/>
    <col min="1800" max="1800" width="12.28515625" style="331" hidden="1"/>
    <col min="1801" max="1805" width="11.28515625" style="331" hidden="1"/>
    <col min="1806" max="1806" width="5.5703125" style="331" hidden="1"/>
    <col min="1807" max="1807" width="5.7109375" style="331" hidden="1"/>
    <col min="1808" max="2048" width="9.140625" style="331" hidden="1"/>
    <col min="2049" max="2049" width="4.42578125" style="331" hidden="1"/>
    <col min="2050" max="2050" width="17.28515625" style="331" hidden="1"/>
    <col min="2051" max="2051" width="1.7109375" style="331" hidden="1"/>
    <col min="2052" max="2052" width="14.140625" style="331" hidden="1"/>
    <col min="2053" max="2053" width="2.5703125" style="331" hidden="1"/>
    <col min="2054" max="2055" width="11.28515625" style="331" hidden="1"/>
    <col min="2056" max="2056" width="12.28515625" style="331" hidden="1"/>
    <col min="2057" max="2061" width="11.28515625" style="331" hidden="1"/>
    <col min="2062" max="2062" width="5.5703125" style="331" hidden="1"/>
    <col min="2063" max="2063" width="5.7109375" style="331" hidden="1"/>
    <col min="2064" max="2304" width="9.140625" style="331" hidden="1"/>
    <col min="2305" max="2305" width="4.42578125" style="331" hidden="1"/>
    <col min="2306" max="2306" width="17.28515625" style="331" hidden="1"/>
    <col min="2307" max="2307" width="1.7109375" style="331" hidden="1"/>
    <col min="2308" max="2308" width="14.140625" style="331" hidden="1"/>
    <col min="2309" max="2309" width="2.5703125" style="331" hidden="1"/>
    <col min="2310" max="2311" width="11.28515625" style="331" hidden="1"/>
    <col min="2312" max="2312" width="12.28515625" style="331" hidden="1"/>
    <col min="2313" max="2317" width="11.28515625" style="331" hidden="1"/>
    <col min="2318" max="2318" width="5.5703125" style="331" hidden="1"/>
    <col min="2319" max="2319" width="5.7109375" style="331" hidden="1"/>
    <col min="2320" max="2560" width="9.140625" style="331" hidden="1"/>
    <col min="2561" max="2561" width="4.42578125" style="331" hidden="1"/>
    <col min="2562" max="2562" width="17.28515625" style="331" hidden="1"/>
    <col min="2563" max="2563" width="1.7109375" style="331" hidden="1"/>
    <col min="2564" max="2564" width="14.140625" style="331" hidden="1"/>
    <col min="2565" max="2565" width="2.5703125" style="331" hidden="1"/>
    <col min="2566" max="2567" width="11.28515625" style="331" hidden="1"/>
    <col min="2568" max="2568" width="12.28515625" style="331" hidden="1"/>
    <col min="2569" max="2573" width="11.28515625" style="331" hidden="1"/>
    <col min="2574" max="2574" width="5.5703125" style="331" hidden="1"/>
    <col min="2575" max="2575" width="5.7109375" style="331" hidden="1"/>
    <col min="2576" max="2816" width="9.140625" style="331" hidden="1"/>
    <col min="2817" max="2817" width="4.42578125" style="331" hidden="1"/>
    <col min="2818" max="2818" width="17.28515625" style="331" hidden="1"/>
    <col min="2819" max="2819" width="1.7109375" style="331" hidden="1"/>
    <col min="2820" max="2820" width="14.140625" style="331" hidden="1"/>
    <col min="2821" max="2821" width="2.5703125" style="331" hidden="1"/>
    <col min="2822" max="2823" width="11.28515625" style="331" hidden="1"/>
    <col min="2824" max="2824" width="12.28515625" style="331" hidden="1"/>
    <col min="2825" max="2829" width="11.28515625" style="331" hidden="1"/>
    <col min="2830" max="2830" width="5.5703125" style="331" hidden="1"/>
    <col min="2831" max="2831" width="5.7109375" style="331" hidden="1"/>
    <col min="2832" max="3072" width="9.140625" style="331" hidden="1"/>
    <col min="3073" max="3073" width="4.42578125" style="331" hidden="1"/>
    <col min="3074" max="3074" width="17.28515625" style="331" hidden="1"/>
    <col min="3075" max="3075" width="1.7109375" style="331" hidden="1"/>
    <col min="3076" max="3076" width="14.140625" style="331" hidden="1"/>
    <col min="3077" max="3077" width="2.5703125" style="331" hidden="1"/>
    <col min="3078" max="3079" width="11.28515625" style="331" hidden="1"/>
    <col min="3080" max="3080" width="12.28515625" style="331" hidden="1"/>
    <col min="3081" max="3085" width="11.28515625" style="331" hidden="1"/>
    <col min="3086" max="3086" width="5.5703125" style="331" hidden="1"/>
    <col min="3087" max="3087" width="5.7109375" style="331" hidden="1"/>
    <col min="3088" max="3328" width="9.140625" style="331" hidden="1"/>
    <col min="3329" max="3329" width="4.42578125" style="331" hidden="1"/>
    <col min="3330" max="3330" width="17.28515625" style="331" hidden="1"/>
    <col min="3331" max="3331" width="1.7109375" style="331" hidden="1"/>
    <col min="3332" max="3332" width="14.140625" style="331" hidden="1"/>
    <col min="3333" max="3333" width="2.5703125" style="331" hidden="1"/>
    <col min="3334" max="3335" width="11.28515625" style="331" hidden="1"/>
    <col min="3336" max="3336" width="12.28515625" style="331" hidden="1"/>
    <col min="3337" max="3341" width="11.28515625" style="331" hidden="1"/>
    <col min="3342" max="3342" width="5.5703125" style="331" hidden="1"/>
    <col min="3343" max="3343" width="5.7109375" style="331" hidden="1"/>
    <col min="3344" max="3584" width="9.140625" style="331" hidden="1"/>
    <col min="3585" max="3585" width="4.42578125" style="331" hidden="1"/>
    <col min="3586" max="3586" width="17.28515625" style="331" hidden="1"/>
    <col min="3587" max="3587" width="1.7109375" style="331" hidden="1"/>
    <col min="3588" max="3588" width="14.140625" style="331" hidden="1"/>
    <col min="3589" max="3589" width="2.5703125" style="331" hidden="1"/>
    <col min="3590" max="3591" width="11.28515625" style="331" hidden="1"/>
    <col min="3592" max="3592" width="12.28515625" style="331" hidden="1"/>
    <col min="3593" max="3597" width="11.28515625" style="331" hidden="1"/>
    <col min="3598" max="3598" width="5.5703125" style="331" hidden="1"/>
    <col min="3599" max="3599" width="5.7109375" style="331" hidden="1"/>
    <col min="3600" max="3840" width="9.140625" style="331" hidden="1"/>
    <col min="3841" max="3841" width="4.42578125" style="331" hidden="1"/>
    <col min="3842" max="3842" width="17.28515625" style="331" hidden="1"/>
    <col min="3843" max="3843" width="1.7109375" style="331" hidden="1"/>
    <col min="3844" max="3844" width="14.140625" style="331" hidden="1"/>
    <col min="3845" max="3845" width="2.5703125" style="331" hidden="1"/>
    <col min="3846" max="3847" width="11.28515625" style="331" hidden="1"/>
    <col min="3848" max="3848" width="12.28515625" style="331" hidden="1"/>
    <col min="3849" max="3853" width="11.28515625" style="331" hidden="1"/>
    <col min="3854" max="3854" width="5.5703125" style="331" hidden="1"/>
    <col min="3855" max="3855" width="5.7109375" style="331" hidden="1"/>
    <col min="3856" max="4096" width="9.140625" style="331" hidden="1"/>
    <col min="4097" max="4097" width="4.42578125" style="331" hidden="1"/>
    <col min="4098" max="4098" width="17.28515625" style="331" hidden="1"/>
    <col min="4099" max="4099" width="1.7109375" style="331" hidden="1"/>
    <col min="4100" max="4100" width="14.140625" style="331" hidden="1"/>
    <col min="4101" max="4101" width="2.5703125" style="331" hidden="1"/>
    <col min="4102" max="4103" width="11.28515625" style="331" hidden="1"/>
    <col min="4104" max="4104" width="12.28515625" style="331" hidden="1"/>
    <col min="4105" max="4109" width="11.28515625" style="331" hidden="1"/>
    <col min="4110" max="4110" width="5.5703125" style="331" hidden="1"/>
    <col min="4111" max="4111" width="5.7109375" style="331" hidden="1"/>
    <col min="4112" max="4352" width="9.140625" style="331" hidden="1"/>
    <col min="4353" max="4353" width="4.42578125" style="331" hidden="1"/>
    <col min="4354" max="4354" width="17.28515625" style="331" hidden="1"/>
    <col min="4355" max="4355" width="1.7109375" style="331" hidden="1"/>
    <col min="4356" max="4356" width="14.140625" style="331" hidden="1"/>
    <col min="4357" max="4357" width="2.5703125" style="331" hidden="1"/>
    <col min="4358" max="4359" width="11.28515625" style="331" hidden="1"/>
    <col min="4360" max="4360" width="12.28515625" style="331" hidden="1"/>
    <col min="4361" max="4365" width="11.28515625" style="331" hidden="1"/>
    <col min="4366" max="4366" width="5.5703125" style="331" hidden="1"/>
    <col min="4367" max="4367" width="5.7109375" style="331" hidden="1"/>
    <col min="4368" max="4608" width="9.140625" style="331" hidden="1"/>
    <col min="4609" max="4609" width="4.42578125" style="331" hidden="1"/>
    <col min="4610" max="4610" width="17.28515625" style="331" hidden="1"/>
    <col min="4611" max="4611" width="1.7109375" style="331" hidden="1"/>
    <col min="4612" max="4612" width="14.140625" style="331" hidden="1"/>
    <col min="4613" max="4613" width="2.5703125" style="331" hidden="1"/>
    <col min="4614" max="4615" width="11.28515625" style="331" hidden="1"/>
    <col min="4616" max="4616" width="12.28515625" style="331" hidden="1"/>
    <col min="4617" max="4621" width="11.28515625" style="331" hidden="1"/>
    <col min="4622" max="4622" width="5.5703125" style="331" hidden="1"/>
    <col min="4623" max="4623" width="5.7109375" style="331" hidden="1"/>
    <col min="4624" max="4864" width="9.140625" style="331" hidden="1"/>
    <col min="4865" max="4865" width="4.42578125" style="331" hidden="1"/>
    <col min="4866" max="4866" width="17.28515625" style="331" hidden="1"/>
    <col min="4867" max="4867" width="1.7109375" style="331" hidden="1"/>
    <col min="4868" max="4868" width="14.140625" style="331" hidden="1"/>
    <col min="4869" max="4869" width="2.5703125" style="331" hidden="1"/>
    <col min="4870" max="4871" width="11.28515625" style="331" hidden="1"/>
    <col min="4872" max="4872" width="12.28515625" style="331" hidden="1"/>
    <col min="4873" max="4877" width="11.28515625" style="331" hidden="1"/>
    <col min="4878" max="4878" width="5.5703125" style="331" hidden="1"/>
    <col min="4879" max="4879" width="5.7109375" style="331" hidden="1"/>
    <col min="4880" max="5120" width="9.140625" style="331" hidden="1"/>
    <col min="5121" max="5121" width="4.42578125" style="331" hidden="1"/>
    <col min="5122" max="5122" width="17.28515625" style="331" hidden="1"/>
    <col min="5123" max="5123" width="1.7109375" style="331" hidden="1"/>
    <col min="5124" max="5124" width="14.140625" style="331" hidden="1"/>
    <col min="5125" max="5125" width="2.5703125" style="331" hidden="1"/>
    <col min="5126" max="5127" width="11.28515625" style="331" hidden="1"/>
    <col min="5128" max="5128" width="12.28515625" style="331" hidden="1"/>
    <col min="5129" max="5133" width="11.28515625" style="331" hidden="1"/>
    <col min="5134" max="5134" width="5.5703125" style="331" hidden="1"/>
    <col min="5135" max="5135" width="5.7109375" style="331" hidden="1"/>
    <col min="5136" max="5376" width="9.140625" style="331" hidden="1"/>
    <col min="5377" max="5377" width="4.42578125" style="331" hidden="1"/>
    <col min="5378" max="5378" width="17.28515625" style="331" hidden="1"/>
    <col min="5379" max="5379" width="1.7109375" style="331" hidden="1"/>
    <col min="5380" max="5380" width="14.140625" style="331" hidden="1"/>
    <col min="5381" max="5381" width="2.5703125" style="331" hidden="1"/>
    <col min="5382" max="5383" width="11.28515625" style="331" hidden="1"/>
    <col min="5384" max="5384" width="12.28515625" style="331" hidden="1"/>
    <col min="5385" max="5389" width="11.28515625" style="331" hidden="1"/>
    <col min="5390" max="5390" width="5.5703125" style="331" hidden="1"/>
    <col min="5391" max="5391" width="5.7109375" style="331" hidden="1"/>
    <col min="5392" max="5632" width="9.140625" style="331" hidden="1"/>
    <col min="5633" max="5633" width="4.42578125" style="331" hidden="1"/>
    <col min="5634" max="5634" width="17.28515625" style="331" hidden="1"/>
    <col min="5635" max="5635" width="1.7109375" style="331" hidden="1"/>
    <col min="5636" max="5636" width="14.140625" style="331" hidden="1"/>
    <col min="5637" max="5637" width="2.5703125" style="331" hidden="1"/>
    <col min="5638" max="5639" width="11.28515625" style="331" hidden="1"/>
    <col min="5640" max="5640" width="12.28515625" style="331" hidden="1"/>
    <col min="5641" max="5645" width="11.28515625" style="331" hidden="1"/>
    <col min="5646" max="5646" width="5.5703125" style="331" hidden="1"/>
    <col min="5647" max="5647" width="5.7109375" style="331" hidden="1"/>
    <col min="5648" max="5888" width="9.140625" style="331" hidden="1"/>
    <col min="5889" max="5889" width="4.42578125" style="331" hidden="1"/>
    <col min="5890" max="5890" width="17.28515625" style="331" hidden="1"/>
    <col min="5891" max="5891" width="1.7109375" style="331" hidden="1"/>
    <col min="5892" max="5892" width="14.140625" style="331" hidden="1"/>
    <col min="5893" max="5893" width="2.5703125" style="331" hidden="1"/>
    <col min="5894" max="5895" width="11.28515625" style="331" hidden="1"/>
    <col min="5896" max="5896" width="12.28515625" style="331" hidden="1"/>
    <col min="5897" max="5901" width="11.28515625" style="331" hidden="1"/>
    <col min="5902" max="5902" width="5.5703125" style="331" hidden="1"/>
    <col min="5903" max="5903" width="5.7109375" style="331" hidden="1"/>
    <col min="5904" max="6144" width="9.140625" style="331" hidden="1"/>
    <col min="6145" max="6145" width="4.42578125" style="331" hidden="1"/>
    <col min="6146" max="6146" width="17.28515625" style="331" hidden="1"/>
    <col min="6147" max="6147" width="1.7109375" style="331" hidden="1"/>
    <col min="6148" max="6148" width="14.140625" style="331" hidden="1"/>
    <col min="6149" max="6149" width="2.5703125" style="331" hidden="1"/>
    <col min="6150" max="6151" width="11.28515625" style="331" hidden="1"/>
    <col min="6152" max="6152" width="12.28515625" style="331" hidden="1"/>
    <col min="6153" max="6157" width="11.28515625" style="331" hidden="1"/>
    <col min="6158" max="6158" width="5.5703125" style="331" hidden="1"/>
    <col min="6159" max="6159" width="5.7109375" style="331" hidden="1"/>
    <col min="6160" max="6400" width="9.140625" style="331" hidden="1"/>
    <col min="6401" max="6401" width="4.42578125" style="331" hidden="1"/>
    <col min="6402" max="6402" width="17.28515625" style="331" hidden="1"/>
    <col min="6403" max="6403" width="1.7109375" style="331" hidden="1"/>
    <col min="6404" max="6404" width="14.140625" style="331" hidden="1"/>
    <col min="6405" max="6405" width="2.5703125" style="331" hidden="1"/>
    <col min="6406" max="6407" width="11.28515625" style="331" hidden="1"/>
    <col min="6408" max="6408" width="12.28515625" style="331" hidden="1"/>
    <col min="6409" max="6413" width="11.28515625" style="331" hidden="1"/>
    <col min="6414" max="6414" width="5.5703125" style="331" hidden="1"/>
    <col min="6415" max="6415" width="5.7109375" style="331" hidden="1"/>
    <col min="6416" max="6656" width="9.140625" style="331" hidden="1"/>
    <col min="6657" max="6657" width="4.42578125" style="331" hidden="1"/>
    <col min="6658" max="6658" width="17.28515625" style="331" hidden="1"/>
    <col min="6659" max="6659" width="1.7109375" style="331" hidden="1"/>
    <col min="6660" max="6660" width="14.140625" style="331" hidden="1"/>
    <col min="6661" max="6661" width="2.5703125" style="331" hidden="1"/>
    <col min="6662" max="6663" width="11.28515625" style="331" hidden="1"/>
    <col min="6664" max="6664" width="12.28515625" style="331" hidden="1"/>
    <col min="6665" max="6669" width="11.28515625" style="331" hidden="1"/>
    <col min="6670" max="6670" width="5.5703125" style="331" hidden="1"/>
    <col min="6671" max="6671" width="5.7109375" style="331" hidden="1"/>
    <col min="6672" max="6912" width="9.140625" style="331" hidden="1"/>
    <col min="6913" max="6913" width="4.42578125" style="331" hidden="1"/>
    <col min="6914" max="6914" width="17.28515625" style="331" hidden="1"/>
    <col min="6915" max="6915" width="1.7109375" style="331" hidden="1"/>
    <col min="6916" max="6916" width="14.140625" style="331" hidden="1"/>
    <col min="6917" max="6917" width="2.5703125" style="331" hidden="1"/>
    <col min="6918" max="6919" width="11.28515625" style="331" hidden="1"/>
    <col min="6920" max="6920" width="12.28515625" style="331" hidden="1"/>
    <col min="6921" max="6925" width="11.28515625" style="331" hidden="1"/>
    <col min="6926" max="6926" width="5.5703125" style="331" hidden="1"/>
    <col min="6927" max="6927" width="5.7109375" style="331" hidden="1"/>
    <col min="6928" max="7168" width="9.140625" style="331" hidden="1"/>
    <col min="7169" max="7169" width="4.42578125" style="331" hidden="1"/>
    <col min="7170" max="7170" width="17.28515625" style="331" hidden="1"/>
    <col min="7171" max="7171" width="1.7109375" style="331" hidden="1"/>
    <col min="7172" max="7172" width="14.140625" style="331" hidden="1"/>
    <col min="7173" max="7173" width="2.5703125" style="331" hidden="1"/>
    <col min="7174" max="7175" width="11.28515625" style="331" hidden="1"/>
    <col min="7176" max="7176" width="12.28515625" style="331" hidden="1"/>
    <col min="7177" max="7181" width="11.28515625" style="331" hidden="1"/>
    <col min="7182" max="7182" width="5.5703125" style="331" hidden="1"/>
    <col min="7183" max="7183" width="5.7109375" style="331" hidden="1"/>
    <col min="7184" max="7424" width="9.140625" style="331" hidden="1"/>
    <col min="7425" max="7425" width="4.42578125" style="331" hidden="1"/>
    <col min="7426" max="7426" width="17.28515625" style="331" hidden="1"/>
    <col min="7427" max="7427" width="1.7109375" style="331" hidden="1"/>
    <col min="7428" max="7428" width="14.140625" style="331" hidden="1"/>
    <col min="7429" max="7429" width="2.5703125" style="331" hidden="1"/>
    <col min="7430" max="7431" width="11.28515625" style="331" hidden="1"/>
    <col min="7432" max="7432" width="12.28515625" style="331" hidden="1"/>
    <col min="7433" max="7437" width="11.28515625" style="331" hidden="1"/>
    <col min="7438" max="7438" width="5.5703125" style="331" hidden="1"/>
    <col min="7439" max="7439" width="5.7109375" style="331" hidden="1"/>
    <col min="7440" max="7680" width="9.140625" style="331" hidden="1"/>
    <col min="7681" max="7681" width="4.42578125" style="331" hidden="1"/>
    <col min="7682" max="7682" width="17.28515625" style="331" hidden="1"/>
    <col min="7683" max="7683" width="1.7109375" style="331" hidden="1"/>
    <col min="7684" max="7684" width="14.140625" style="331" hidden="1"/>
    <col min="7685" max="7685" width="2.5703125" style="331" hidden="1"/>
    <col min="7686" max="7687" width="11.28515625" style="331" hidden="1"/>
    <col min="7688" max="7688" width="12.28515625" style="331" hidden="1"/>
    <col min="7689" max="7693" width="11.28515625" style="331" hidden="1"/>
    <col min="7694" max="7694" width="5.5703125" style="331" hidden="1"/>
    <col min="7695" max="7695" width="5.7109375" style="331" hidden="1"/>
    <col min="7696" max="7936" width="9.140625" style="331" hidden="1"/>
    <col min="7937" max="7937" width="4.42578125" style="331" hidden="1"/>
    <col min="7938" max="7938" width="17.28515625" style="331" hidden="1"/>
    <col min="7939" max="7939" width="1.7109375" style="331" hidden="1"/>
    <col min="7940" max="7940" width="14.140625" style="331" hidden="1"/>
    <col min="7941" max="7941" width="2.5703125" style="331" hidden="1"/>
    <col min="7942" max="7943" width="11.28515625" style="331" hidden="1"/>
    <col min="7944" max="7944" width="12.28515625" style="331" hidden="1"/>
    <col min="7945" max="7949" width="11.28515625" style="331" hidden="1"/>
    <col min="7950" max="7950" width="5.5703125" style="331" hidden="1"/>
    <col min="7951" max="7951" width="5.7109375" style="331" hidden="1"/>
    <col min="7952" max="8192" width="9.140625" style="331" hidden="1"/>
    <col min="8193" max="8193" width="4.42578125" style="331" hidden="1"/>
    <col min="8194" max="8194" width="17.28515625" style="331" hidden="1"/>
    <col min="8195" max="8195" width="1.7109375" style="331" hidden="1"/>
    <col min="8196" max="8196" width="14.140625" style="331" hidden="1"/>
    <col min="8197" max="8197" width="2.5703125" style="331" hidden="1"/>
    <col min="8198" max="8199" width="11.28515625" style="331" hidden="1"/>
    <col min="8200" max="8200" width="12.28515625" style="331" hidden="1"/>
    <col min="8201" max="8205" width="11.28515625" style="331" hidden="1"/>
    <col min="8206" max="8206" width="5.5703125" style="331" hidden="1"/>
    <col min="8207" max="8207" width="5.7109375" style="331" hidden="1"/>
    <col min="8208" max="8448" width="9.140625" style="331" hidden="1"/>
    <col min="8449" max="8449" width="4.42578125" style="331" hidden="1"/>
    <col min="8450" max="8450" width="17.28515625" style="331" hidden="1"/>
    <col min="8451" max="8451" width="1.7109375" style="331" hidden="1"/>
    <col min="8452" max="8452" width="14.140625" style="331" hidden="1"/>
    <col min="8453" max="8453" width="2.5703125" style="331" hidden="1"/>
    <col min="8454" max="8455" width="11.28515625" style="331" hidden="1"/>
    <col min="8456" max="8456" width="12.28515625" style="331" hidden="1"/>
    <col min="8457" max="8461" width="11.28515625" style="331" hidden="1"/>
    <col min="8462" max="8462" width="5.5703125" style="331" hidden="1"/>
    <col min="8463" max="8463" width="5.7109375" style="331" hidden="1"/>
    <col min="8464" max="8704" width="9.140625" style="331" hidden="1"/>
    <col min="8705" max="8705" width="4.42578125" style="331" hidden="1"/>
    <col min="8706" max="8706" width="17.28515625" style="331" hidden="1"/>
    <col min="8707" max="8707" width="1.7109375" style="331" hidden="1"/>
    <col min="8708" max="8708" width="14.140625" style="331" hidden="1"/>
    <col min="8709" max="8709" width="2.5703125" style="331" hidden="1"/>
    <col min="8710" max="8711" width="11.28515625" style="331" hidden="1"/>
    <col min="8712" max="8712" width="12.28515625" style="331" hidden="1"/>
    <col min="8713" max="8717" width="11.28515625" style="331" hidden="1"/>
    <col min="8718" max="8718" width="5.5703125" style="331" hidden="1"/>
    <col min="8719" max="8719" width="5.7109375" style="331" hidden="1"/>
    <col min="8720" max="8960" width="9.140625" style="331" hidden="1"/>
    <col min="8961" max="8961" width="4.42578125" style="331" hidden="1"/>
    <col min="8962" max="8962" width="17.28515625" style="331" hidden="1"/>
    <col min="8963" max="8963" width="1.7109375" style="331" hidden="1"/>
    <col min="8964" max="8964" width="14.140625" style="331" hidden="1"/>
    <col min="8965" max="8965" width="2.5703125" style="331" hidden="1"/>
    <col min="8966" max="8967" width="11.28515625" style="331" hidden="1"/>
    <col min="8968" max="8968" width="12.28515625" style="331" hidden="1"/>
    <col min="8969" max="8973" width="11.28515625" style="331" hidden="1"/>
    <col min="8974" max="8974" width="5.5703125" style="331" hidden="1"/>
    <col min="8975" max="8975" width="5.7109375" style="331" hidden="1"/>
    <col min="8976" max="9216" width="9.140625" style="331" hidden="1"/>
    <col min="9217" max="9217" width="4.42578125" style="331" hidden="1"/>
    <col min="9218" max="9218" width="17.28515625" style="331" hidden="1"/>
    <col min="9219" max="9219" width="1.7109375" style="331" hidden="1"/>
    <col min="9220" max="9220" width="14.140625" style="331" hidden="1"/>
    <col min="9221" max="9221" width="2.5703125" style="331" hidden="1"/>
    <col min="9222" max="9223" width="11.28515625" style="331" hidden="1"/>
    <col min="9224" max="9224" width="12.28515625" style="331" hidden="1"/>
    <col min="9225" max="9229" width="11.28515625" style="331" hidden="1"/>
    <col min="9230" max="9230" width="5.5703125" style="331" hidden="1"/>
    <col min="9231" max="9231" width="5.7109375" style="331" hidden="1"/>
    <col min="9232" max="9472" width="9.140625" style="331" hidden="1"/>
    <col min="9473" max="9473" width="4.42578125" style="331" hidden="1"/>
    <col min="9474" max="9474" width="17.28515625" style="331" hidden="1"/>
    <col min="9475" max="9475" width="1.7109375" style="331" hidden="1"/>
    <col min="9476" max="9476" width="14.140625" style="331" hidden="1"/>
    <col min="9477" max="9477" width="2.5703125" style="331" hidden="1"/>
    <col min="9478" max="9479" width="11.28515625" style="331" hidden="1"/>
    <col min="9480" max="9480" width="12.28515625" style="331" hidden="1"/>
    <col min="9481" max="9485" width="11.28515625" style="331" hidden="1"/>
    <col min="9486" max="9486" width="5.5703125" style="331" hidden="1"/>
    <col min="9487" max="9487" width="5.7109375" style="331" hidden="1"/>
    <col min="9488" max="9728" width="9.140625" style="331" hidden="1"/>
    <col min="9729" max="9729" width="4.42578125" style="331" hidden="1"/>
    <col min="9730" max="9730" width="17.28515625" style="331" hidden="1"/>
    <col min="9731" max="9731" width="1.7109375" style="331" hidden="1"/>
    <col min="9732" max="9732" width="14.140625" style="331" hidden="1"/>
    <col min="9733" max="9733" width="2.5703125" style="331" hidden="1"/>
    <col min="9734" max="9735" width="11.28515625" style="331" hidden="1"/>
    <col min="9736" max="9736" width="12.28515625" style="331" hidden="1"/>
    <col min="9737" max="9741" width="11.28515625" style="331" hidden="1"/>
    <col min="9742" max="9742" width="5.5703125" style="331" hidden="1"/>
    <col min="9743" max="9743" width="5.7109375" style="331" hidden="1"/>
    <col min="9744" max="9984" width="9.140625" style="331" hidden="1"/>
    <col min="9985" max="9985" width="4.42578125" style="331" hidden="1"/>
    <col min="9986" max="9986" width="17.28515625" style="331" hidden="1"/>
    <col min="9987" max="9987" width="1.7109375" style="331" hidden="1"/>
    <col min="9988" max="9988" width="14.140625" style="331" hidden="1"/>
    <col min="9989" max="9989" width="2.5703125" style="331" hidden="1"/>
    <col min="9990" max="9991" width="11.28515625" style="331" hidden="1"/>
    <col min="9992" max="9992" width="12.28515625" style="331" hidden="1"/>
    <col min="9993" max="9997" width="11.28515625" style="331" hidden="1"/>
    <col min="9998" max="9998" width="5.5703125" style="331" hidden="1"/>
    <col min="9999" max="9999" width="5.7109375" style="331" hidden="1"/>
    <col min="10000" max="10240" width="9.140625" style="331" hidden="1"/>
    <col min="10241" max="10241" width="4.42578125" style="331" hidden="1"/>
    <col min="10242" max="10242" width="17.28515625" style="331" hidden="1"/>
    <col min="10243" max="10243" width="1.7109375" style="331" hidden="1"/>
    <col min="10244" max="10244" width="14.140625" style="331" hidden="1"/>
    <col min="10245" max="10245" width="2.5703125" style="331" hidden="1"/>
    <col min="10246" max="10247" width="11.28515625" style="331" hidden="1"/>
    <col min="10248" max="10248" width="12.28515625" style="331" hidden="1"/>
    <col min="10249" max="10253" width="11.28515625" style="331" hidden="1"/>
    <col min="10254" max="10254" width="5.5703125" style="331" hidden="1"/>
    <col min="10255" max="10255" width="5.7109375" style="331" hidden="1"/>
    <col min="10256" max="10496" width="9.140625" style="331" hidden="1"/>
    <col min="10497" max="10497" width="4.42578125" style="331" hidden="1"/>
    <col min="10498" max="10498" width="17.28515625" style="331" hidden="1"/>
    <col min="10499" max="10499" width="1.7109375" style="331" hidden="1"/>
    <col min="10500" max="10500" width="14.140625" style="331" hidden="1"/>
    <col min="10501" max="10501" width="2.5703125" style="331" hidden="1"/>
    <col min="10502" max="10503" width="11.28515625" style="331" hidden="1"/>
    <col min="10504" max="10504" width="12.28515625" style="331" hidden="1"/>
    <col min="10505" max="10509" width="11.28515625" style="331" hidden="1"/>
    <col min="10510" max="10510" width="5.5703125" style="331" hidden="1"/>
    <col min="10511" max="10511" width="5.7109375" style="331" hidden="1"/>
    <col min="10512" max="10752" width="9.140625" style="331" hidden="1"/>
    <col min="10753" max="10753" width="4.42578125" style="331" hidden="1"/>
    <col min="10754" max="10754" width="17.28515625" style="331" hidden="1"/>
    <col min="10755" max="10755" width="1.7109375" style="331" hidden="1"/>
    <col min="10756" max="10756" width="14.140625" style="331" hidden="1"/>
    <col min="10757" max="10757" width="2.5703125" style="331" hidden="1"/>
    <col min="10758" max="10759" width="11.28515625" style="331" hidden="1"/>
    <col min="10760" max="10760" width="12.28515625" style="331" hidden="1"/>
    <col min="10761" max="10765" width="11.28515625" style="331" hidden="1"/>
    <col min="10766" max="10766" width="5.5703125" style="331" hidden="1"/>
    <col min="10767" max="10767" width="5.7109375" style="331" hidden="1"/>
    <col min="10768" max="11008" width="9.140625" style="331" hidden="1"/>
    <col min="11009" max="11009" width="4.42578125" style="331" hidden="1"/>
    <col min="11010" max="11010" width="17.28515625" style="331" hidden="1"/>
    <col min="11011" max="11011" width="1.7109375" style="331" hidden="1"/>
    <col min="11012" max="11012" width="14.140625" style="331" hidden="1"/>
    <col min="11013" max="11013" width="2.5703125" style="331" hidden="1"/>
    <col min="11014" max="11015" width="11.28515625" style="331" hidden="1"/>
    <col min="11016" max="11016" width="12.28515625" style="331" hidden="1"/>
    <col min="11017" max="11021" width="11.28515625" style="331" hidden="1"/>
    <col min="11022" max="11022" width="5.5703125" style="331" hidden="1"/>
    <col min="11023" max="11023" width="5.7109375" style="331" hidden="1"/>
    <col min="11024" max="11264" width="9.140625" style="331" hidden="1"/>
    <col min="11265" max="11265" width="4.42578125" style="331" hidden="1"/>
    <col min="11266" max="11266" width="17.28515625" style="331" hidden="1"/>
    <col min="11267" max="11267" width="1.7109375" style="331" hidden="1"/>
    <col min="11268" max="11268" width="14.140625" style="331" hidden="1"/>
    <col min="11269" max="11269" width="2.5703125" style="331" hidden="1"/>
    <col min="11270" max="11271" width="11.28515625" style="331" hidden="1"/>
    <col min="11272" max="11272" width="12.28515625" style="331" hidden="1"/>
    <col min="11273" max="11277" width="11.28515625" style="331" hidden="1"/>
    <col min="11278" max="11278" width="5.5703125" style="331" hidden="1"/>
    <col min="11279" max="11279" width="5.7109375" style="331" hidden="1"/>
    <col min="11280" max="11520" width="9.140625" style="331" hidden="1"/>
    <col min="11521" max="11521" width="4.42578125" style="331" hidden="1"/>
    <col min="11522" max="11522" width="17.28515625" style="331" hidden="1"/>
    <col min="11523" max="11523" width="1.7109375" style="331" hidden="1"/>
    <col min="11524" max="11524" width="14.140625" style="331" hidden="1"/>
    <col min="11525" max="11525" width="2.5703125" style="331" hidden="1"/>
    <col min="11526" max="11527" width="11.28515625" style="331" hidden="1"/>
    <col min="11528" max="11528" width="12.28515625" style="331" hidden="1"/>
    <col min="11529" max="11533" width="11.28515625" style="331" hidden="1"/>
    <col min="11534" max="11534" width="5.5703125" style="331" hidden="1"/>
    <col min="11535" max="11535" width="5.7109375" style="331" hidden="1"/>
    <col min="11536" max="11776" width="9.140625" style="331" hidden="1"/>
    <col min="11777" max="11777" width="4.42578125" style="331" hidden="1"/>
    <col min="11778" max="11778" width="17.28515625" style="331" hidden="1"/>
    <col min="11779" max="11779" width="1.7109375" style="331" hidden="1"/>
    <col min="11780" max="11780" width="14.140625" style="331" hidden="1"/>
    <col min="11781" max="11781" width="2.5703125" style="331" hidden="1"/>
    <col min="11782" max="11783" width="11.28515625" style="331" hidden="1"/>
    <col min="11784" max="11784" width="12.28515625" style="331" hidden="1"/>
    <col min="11785" max="11789" width="11.28515625" style="331" hidden="1"/>
    <col min="11790" max="11790" width="5.5703125" style="331" hidden="1"/>
    <col min="11791" max="11791" width="5.7109375" style="331" hidden="1"/>
    <col min="11792" max="12032" width="9.140625" style="331" hidden="1"/>
    <col min="12033" max="12033" width="4.42578125" style="331" hidden="1"/>
    <col min="12034" max="12034" width="17.28515625" style="331" hidden="1"/>
    <col min="12035" max="12035" width="1.7109375" style="331" hidden="1"/>
    <col min="12036" max="12036" width="14.140625" style="331" hidden="1"/>
    <col min="12037" max="12037" width="2.5703125" style="331" hidden="1"/>
    <col min="12038" max="12039" width="11.28515625" style="331" hidden="1"/>
    <col min="12040" max="12040" width="12.28515625" style="331" hidden="1"/>
    <col min="12041" max="12045" width="11.28515625" style="331" hidden="1"/>
    <col min="12046" max="12046" width="5.5703125" style="331" hidden="1"/>
    <col min="12047" max="12047" width="5.7109375" style="331" hidden="1"/>
    <col min="12048" max="12288" width="9.140625" style="331" hidden="1"/>
    <col min="12289" max="12289" width="4.42578125" style="331" hidden="1"/>
    <col min="12290" max="12290" width="17.28515625" style="331" hidden="1"/>
    <col min="12291" max="12291" width="1.7109375" style="331" hidden="1"/>
    <col min="12292" max="12292" width="14.140625" style="331" hidden="1"/>
    <col min="12293" max="12293" width="2.5703125" style="331" hidden="1"/>
    <col min="12294" max="12295" width="11.28515625" style="331" hidden="1"/>
    <col min="12296" max="12296" width="12.28515625" style="331" hidden="1"/>
    <col min="12297" max="12301" width="11.28515625" style="331" hidden="1"/>
    <col min="12302" max="12302" width="5.5703125" style="331" hidden="1"/>
    <col min="12303" max="12303" width="5.7109375" style="331" hidden="1"/>
    <col min="12304" max="12544" width="9.140625" style="331" hidden="1"/>
    <col min="12545" max="12545" width="4.42578125" style="331" hidden="1"/>
    <col min="12546" max="12546" width="17.28515625" style="331" hidden="1"/>
    <col min="12547" max="12547" width="1.7109375" style="331" hidden="1"/>
    <col min="12548" max="12548" width="14.140625" style="331" hidden="1"/>
    <col min="12549" max="12549" width="2.5703125" style="331" hidden="1"/>
    <col min="12550" max="12551" width="11.28515625" style="331" hidden="1"/>
    <col min="12552" max="12552" width="12.28515625" style="331" hidden="1"/>
    <col min="12553" max="12557" width="11.28515625" style="331" hidden="1"/>
    <col min="12558" max="12558" width="5.5703125" style="331" hidden="1"/>
    <col min="12559" max="12559" width="5.7109375" style="331" hidden="1"/>
    <col min="12560" max="12800" width="9.140625" style="331" hidden="1"/>
    <col min="12801" max="12801" width="4.42578125" style="331" hidden="1"/>
    <col min="12802" max="12802" width="17.28515625" style="331" hidden="1"/>
    <col min="12803" max="12803" width="1.7109375" style="331" hidden="1"/>
    <col min="12804" max="12804" width="14.140625" style="331" hidden="1"/>
    <col min="12805" max="12805" width="2.5703125" style="331" hidden="1"/>
    <col min="12806" max="12807" width="11.28515625" style="331" hidden="1"/>
    <col min="12808" max="12808" width="12.28515625" style="331" hidden="1"/>
    <col min="12809" max="12813" width="11.28515625" style="331" hidden="1"/>
    <col min="12814" max="12814" width="5.5703125" style="331" hidden="1"/>
    <col min="12815" max="12815" width="5.7109375" style="331" hidden="1"/>
    <col min="12816" max="13056" width="9.140625" style="331" hidden="1"/>
    <col min="13057" max="13057" width="4.42578125" style="331" hidden="1"/>
    <col min="13058" max="13058" width="17.28515625" style="331" hidden="1"/>
    <col min="13059" max="13059" width="1.7109375" style="331" hidden="1"/>
    <col min="13060" max="13060" width="14.140625" style="331" hidden="1"/>
    <col min="13061" max="13061" width="2.5703125" style="331" hidden="1"/>
    <col min="13062" max="13063" width="11.28515625" style="331" hidden="1"/>
    <col min="13064" max="13064" width="12.28515625" style="331" hidden="1"/>
    <col min="13065" max="13069" width="11.28515625" style="331" hidden="1"/>
    <col min="13070" max="13070" width="5.5703125" style="331" hidden="1"/>
    <col min="13071" max="13071" width="5.7109375" style="331" hidden="1"/>
    <col min="13072" max="13312" width="9.140625" style="331" hidden="1"/>
    <col min="13313" max="13313" width="4.42578125" style="331" hidden="1"/>
    <col min="13314" max="13314" width="17.28515625" style="331" hidden="1"/>
    <col min="13315" max="13315" width="1.7109375" style="331" hidden="1"/>
    <col min="13316" max="13316" width="14.140625" style="331" hidden="1"/>
    <col min="13317" max="13317" width="2.5703125" style="331" hidden="1"/>
    <col min="13318" max="13319" width="11.28515625" style="331" hidden="1"/>
    <col min="13320" max="13320" width="12.28515625" style="331" hidden="1"/>
    <col min="13321" max="13325" width="11.28515625" style="331" hidden="1"/>
    <col min="13326" max="13326" width="5.5703125" style="331" hidden="1"/>
    <col min="13327" max="13327" width="5.7109375" style="331" hidden="1"/>
    <col min="13328" max="13568" width="9.140625" style="331" hidden="1"/>
    <col min="13569" max="13569" width="4.42578125" style="331" hidden="1"/>
    <col min="13570" max="13570" width="17.28515625" style="331" hidden="1"/>
    <col min="13571" max="13571" width="1.7109375" style="331" hidden="1"/>
    <col min="13572" max="13572" width="14.140625" style="331" hidden="1"/>
    <col min="13573" max="13573" width="2.5703125" style="331" hidden="1"/>
    <col min="13574" max="13575" width="11.28515625" style="331" hidden="1"/>
    <col min="13576" max="13576" width="12.28515625" style="331" hidden="1"/>
    <col min="13577" max="13581" width="11.28515625" style="331" hidden="1"/>
    <col min="13582" max="13582" width="5.5703125" style="331" hidden="1"/>
    <col min="13583" max="13583" width="5.7109375" style="331" hidden="1"/>
    <col min="13584" max="13824" width="9.140625" style="331" hidden="1"/>
    <col min="13825" max="13825" width="4.42578125" style="331" hidden="1"/>
    <col min="13826" max="13826" width="17.28515625" style="331" hidden="1"/>
    <col min="13827" max="13827" width="1.7109375" style="331" hidden="1"/>
    <col min="13828" max="13828" width="14.140625" style="331" hidden="1"/>
    <col min="13829" max="13829" width="2.5703125" style="331" hidden="1"/>
    <col min="13830" max="13831" width="11.28515625" style="331" hidden="1"/>
    <col min="13832" max="13832" width="12.28515625" style="331" hidden="1"/>
    <col min="13833" max="13837" width="11.28515625" style="331" hidden="1"/>
    <col min="13838" max="13838" width="5.5703125" style="331" hidden="1"/>
    <col min="13839" max="13839" width="5.7109375" style="331" hidden="1"/>
    <col min="13840" max="14080" width="9.140625" style="331" hidden="1"/>
    <col min="14081" max="14081" width="4.42578125" style="331" hidden="1"/>
    <col min="14082" max="14082" width="17.28515625" style="331" hidden="1"/>
    <col min="14083" max="14083" width="1.7109375" style="331" hidden="1"/>
    <col min="14084" max="14084" width="14.140625" style="331" hidden="1"/>
    <col min="14085" max="14085" width="2.5703125" style="331" hidden="1"/>
    <col min="14086" max="14087" width="11.28515625" style="331" hidden="1"/>
    <col min="14088" max="14088" width="12.28515625" style="331" hidden="1"/>
    <col min="14089" max="14093" width="11.28515625" style="331" hidden="1"/>
    <col min="14094" max="14094" width="5.5703125" style="331" hidden="1"/>
    <col min="14095" max="14095" width="5.7109375" style="331" hidden="1"/>
    <col min="14096" max="14336" width="9.140625" style="331" hidden="1"/>
    <col min="14337" max="14337" width="4.42578125" style="331" hidden="1"/>
    <col min="14338" max="14338" width="17.28515625" style="331" hidden="1"/>
    <col min="14339" max="14339" width="1.7109375" style="331" hidden="1"/>
    <col min="14340" max="14340" width="14.140625" style="331" hidden="1"/>
    <col min="14341" max="14341" width="2.5703125" style="331" hidden="1"/>
    <col min="14342" max="14343" width="11.28515625" style="331" hidden="1"/>
    <col min="14344" max="14344" width="12.28515625" style="331" hidden="1"/>
    <col min="14345" max="14349" width="11.28515625" style="331" hidden="1"/>
    <col min="14350" max="14350" width="5.5703125" style="331" hidden="1"/>
    <col min="14351" max="14351" width="5.7109375" style="331" hidden="1"/>
    <col min="14352" max="14592" width="9.140625" style="331" hidden="1"/>
    <col min="14593" max="14593" width="4.42578125" style="331" hidden="1"/>
    <col min="14594" max="14594" width="17.28515625" style="331" hidden="1"/>
    <col min="14595" max="14595" width="1.7109375" style="331" hidden="1"/>
    <col min="14596" max="14596" width="14.140625" style="331" hidden="1"/>
    <col min="14597" max="14597" width="2.5703125" style="331" hidden="1"/>
    <col min="14598" max="14599" width="11.28515625" style="331" hidden="1"/>
    <col min="14600" max="14600" width="12.28515625" style="331" hidden="1"/>
    <col min="14601" max="14605" width="11.28515625" style="331" hidden="1"/>
    <col min="14606" max="14606" width="5.5703125" style="331" hidden="1"/>
    <col min="14607" max="14607" width="5.7109375" style="331" hidden="1"/>
    <col min="14608" max="14848" width="9.140625" style="331" hidden="1"/>
    <col min="14849" max="14849" width="4.42578125" style="331" hidden="1"/>
    <col min="14850" max="14850" width="17.28515625" style="331" hidden="1"/>
    <col min="14851" max="14851" width="1.7109375" style="331" hidden="1"/>
    <col min="14852" max="14852" width="14.140625" style="331" hidden="1"/>
    <col min="14853" max="14853" width="2.5703125" style="331" hidden="1"/>
    <col min="14854" max="14855" width="11.28515625" style="331" hidden="1"/>
    <col min="14856" max="14856" width="12.28515625" style="331" hidden="1"/>
    <col min="14857" max="14861" width="11.28515625" style="331" hidden="1"/>
    <col min="14862" max="14862" width="5.5703125" style="331" hidden="1"/>
    <col min="14863" max="14863" width="5.7109375" style="331" hidden="1"/>
    <col min="14864" max="15104" width="9.140625" style="331" hidden="1"/>
    <col min="15105" max="15105" width="4.42578125" style="331" hidden="1"/>
    <col min="15106" max="15106" width="17.28515625" style="331" hidden="1"/>
    <col min="15107" max="15107" width="1.7109375" style="331" hidden="1"/>
    <col min="15108" max="15108" width="14.140625" style="331" hidden="1"/>
    <col min="15109" max="15109" width="2.5703125" style="331" hidden="1"/>
    <col min="15110" max="15111" width="11.28515625" style="331" hidden="1"/>
    <col min="15112" max="15112" width="12.28515625" style="331" hidden="1"/>
    <col min="15113" max="15117" width="11.28515625" style="331" hidden="1"/>
    <col min="15118" max="15118" width="5.5703125" style="331" hidden="1"/>
    <col min="15119" max="15119" width="5.7109375" style="331" hidden="1"/>
    <col min="15120" max="15360" width="9.140625" style="331" hidden="1"/>
    <col min="15361" max="15361" width="4.42578125" style="331" hidden="1"/>
    <col min="15362" max="15362" width="17.28515625" style="331" hidden="1"/>
    <col min="15363" max="15363" width="1.7109375" style="331" hidden="1"/>
    <col min="15364" max="15364" width="14.140625" style="331" hidden="1"/>
    <col min="15365" max="15365" width="2.5703125" style="331" hidden="1"/>
    <col min="15366" max="15367" width="11.28515625" style="331" hidden="1"/>
    <col min="15368" max="15368" width="12.28515625" style="331" hidden="1"/>
    <col min="15369" max="15373" width="11.28515625" style="331" hidden="1"/>
    <col min="15374" max="15374" width="5.5703125" style="331" hidden="1"/>
    <col min="15375" max="15375" width="5.7109375" style="331" hidden="1"/>
    <col min="15376" max="15616" width="9.140625" style="331" hidden="1"/>
    <col min="15617" max="15617" width="4.42578125" style="331" hidden="1"/>
    <col min="15618" max="15618" width="17.28515625" style="331" hidden="1"/>
    <col min="15619" max="15619" width="1.7109375" style="331" hidden="1"/>
    <col min="15620" max="15620" width="14.140625" style="331" hidden="1"/>
    <col min="15621" max="15621" width="2.5703125" style="331" hidden="1"/>
    <col min="15622" max="15623" width="11.28515625" style="331" hidden="1"/>
    <col min="15624" max="15624" width="12.28515625" style="331" hidden="1"/>
    <col min="15625" max="15629" width="11.28515625" style="331" hidden="1"/>
    <col min="15630" max="15630" width="5.5703125" style="331" hidden="1"/>
    <col min="15631" max="15631" width="5.7109375" style="331" hidden="1"/>
    <col min="15632" max="15872" width="9.140625" style="331" hidden="1"/>
    <col min="15873" max="15873" width="4.42578125" style="331" hidden="1"/>
    <col min="15874" max="15874" width="17.28515625" style="331" hidden="1"/>
    <col min="15875" max="15875" width="1.7109375" style="331" hidden="1"/>
    <col min="15876" max="15876" width="14.140625" style="331" hidden="1"/>
    <col min="15877" max="15877" width="2.5703125" style="331" hidden="1"/>
    <col min="15878" max="15879" width="11.28515625" style="331" hidden="1"/>
    <col min="15880" max="15880" width="12.28515625" style="331" hidden="1"/>
    <col min="15881" max="15885" width="11.28515625" style="331" hidden="1"/>
    <col min="15886" max="15886" width="5.5703125" style="331" hidden="1"/>
    <col min="15887" max="15887" width="5.7109375" style="331" hidden="1"/>
    <col min="15888" max="16128" width="9.140625" style="331" hidden="1"/>
    <col min="16129" max="16129" width="4.42578125" style="331" hidden="1"/>
    <col min="16130" max="16130" width="17.28515625" style="331" hidden="1"/>
    <col min="16131" max="16131" width="1.7109375" style="331" hidden="1"/>
    <col min="16132" max="16132" width="14.140625" style="331" hidden="1"/>
    <col min="16133" max="16133" width="2.5703125" style="331" hidden="1"/>
    <col min="16134" max="16135" width="11.28515625" style="331" hidden="1"/>
    <col min="16136" max="16136" width="12.28515625" style="331" hidden="1"/>
    <col min="16137" max="16141" width="11.28515625" style="331" hidden="1"/>
    <col min="16142" max="16142" width="5.5703125" style="331" hidden="1"/>
    <col min="16143" max="16143" width="5.7109375" style="331" hidden="1"/>
    <col min="16144" max="16384" width="9.140625" style="331" hidden="1"/>
  </cols>
  <sheetData>
    <row r="2" spans="1:19" s="25" customFormat="1" ht="58.15" customHeight="1" x14ac:dyDescent="0.25">
      <c r="A2" s="2"/>
      <c r="B2" s="38" t="s">
        <v>283</v>
      </c>
      <c r="C2" s="38"/>
      <c r="D2" s="38"/>
      <c r="E2" s="38"/>
      <c r="F2" s="38"/>
      <c r="G2" s="38"/>
      <c r="H2" s="38"/>
      <c r="I2" s="38"/>
      <c r="J2" s="38"/>
      <c r="K2" s="38"/>
      <c r="L2" s="38"/>
      <c r="M2" s="38"/>
      <c r="N2" s="38"/>
      <c r="O2" s="348"/>
      <c r="P2" s="2"/>
      <c r="Q2" s="2"/>
      <c r="R2" s="2"/>
      <c r="S2" s="2"/>
    </row>
    <row r="3" spans="1:19" ht="15" x14ac:dyDescent="0.2">
      <c r="B3" s="332"/>
      <c r="C3" s="333"/>
      <c r="D3" s="333"/>
      <c r="E3" s="333"/>
      <c r="F3" s="333"/>
      <c r="G3" s="333"/>
      <c r="H3" s="333"/>
      <c r="I3" s="333"/>
      <c r="J3" s="333"/>
      <c r="K3" s="333"/>
      <c r="L3" s="333"/>
      <c r="M3" s="333"/>
      <c r="N3" s="333"/>
      <c r="O3" s="349"/>
    </row>
    <row r="4" spans="1:19" ht="15" x14ac:dyDescent="0.25">
      <c r="B4" s="334" t="s">
        <v>71</v>
      </c>
      <c r="C4" s="335"/>
      <c r="D4" s="334" t="s">
        <v>72</v>
      </c>
      <c r="E4" s="336"/>
      <c r="F4" s="337" t="s">
        <v>73</v>
      </c>
      <c r="G4" s="338"/>
      <c r="H4" s="338"/>
      <c r="I4" s="338"/>
      <c r="J4" s="338"/>
      <c r="K4" s="338"/>
      <c r="L4" s="338"/>
      <c r="M4" s="338"/>
      <c r="N4" s="338"/>
    </row>
    <row r="6" spans="1:19" ht="15" x14ac:dyDescent="0.25">
      <c r="B6" s="342">
        <v>1.1000000000000001</v>
      </c>
      <c r="C6" s="336"/>
      <c r="D6" s="340">
        <v>43882</v>
      </c>
      <c r="E6" s="336"/>
      <c r="F6" s="417" t="s">
        <v>348</v>
      </c>
      <c r="G6" s="417"/>
      <c r="H6" s="417"/>
      <c r="I6" s="417"/>
      <c r="J6" s="417"/>
      <c r="K6" s="417"/>
      <c r="L6" s="417"/>
      <c r="M6" s="417"/>
      <c r="N6" s="417"/>
    </row>
    <row r="7" spans="1:19" ht="15" x14ac:dyDescent="0.2">
      <c r="B7" s="332"/>
      <c r="C7" s="333"/>
      <c r="D7" s="333"/>
      <c r="E7" s="333"/>
      <c r="F7" s="333"/>
      <c r="G7" s="333"/>
      <c r="H7" s="333"/>
      <c r="I7" s="333"/>
      <c r="J7" s="333"/>
      <c r="K7" s="333"/>
      <c r="L7" s="333"/>
      <c r="M7" s="333"/>
      <c r="N7" s="333"/>
      <c r="O7" s="349"/>
    </row>
    <row r="8" spans="1:19" ht="15" x14ac:dyDescent="0.25">
      <c r="B8" s="334" t="s">
        <v>330</v>
      </c>
      <c r="C8" s="335"/>
      <c r="D8" s="334" t="s">
        <v>72</v>
      </c>
      <c r="E8" s="336"/>
      <c r="F8" s="337" t="s">
        <v>73</v>
      </c>
      <c r="G8" s="338"/>
      <c r="H8" s="338"/>
      <c r="I8" s="338"/>
      <c r="J8" s="338"/>
      <c r="K8" s="338"/>
      <c r="L8" s="338"/>
      <c r="M8" s="338"/>
      <c r="N8" s="338"/>
    </row>
    <row r="10" spans="1:19" ht="15" x14ac:dyDescent="0.25">
      <c r="B10" s="342">
        <v>1</v>
      </c>
      <c r="C10" s="336"/>
      <c r="D10" s="340">
        <v>43427</v>
      </c>
      <c r="E10" s="336"/>
      <c r="F10" s="417" t="s">
        <v>74</v>
      </c>
      <c r="G10" s="417"/>
      <c r="H10" s="417"/>
      <c r="I10" s="417"/>
      <c r="J10" s="417"/>
      <c r="K10" s="417"/>
      <c r="L10" s="417"/>
      <c r="M10" s="417"/>
      <c r="N10" s="417"/>
    </row>
  </sheetData>
  <sheetProtection algorithmName="SHA-512" hashValue="/SFB7+RGSCFN2aDRXK0dvHxbmmZq2+B4HN15WryXNtG5T1DNSkgVs/CExOXTraH81YEYGLXKBG5CKyohRE9DFw==" saltValue="M/WA+z2HW3mq+8ABW4lEbA==" spinCount="100000" sheet="1" selectLockedCells="1" selectUnlockedCells="1"/>
  <mergeCells count="2">
    <mergeCell ref="F6:N6"/>
    <mergeCell ref="F10:N1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1">
    <tabColor rgb="FFFF0000"/>
  </sheetPr>
  <dimension ref="B3:O60"/>
  <sheetViews>
    <sheetView topLeftCell="D1" zoomScale="60" zoomScaleNormal="60" workbookViewId="0">
      <selection activeCell="L11" sqref="L11"/>
    </sheetView>
  </sheetViews>
  <sheetFormatPr defaultRowHeight="15" x14ac:dyDescent="0.25"/>
  <cols>
    <col min="2" max="2" width="33.85546875" bestFit="1" customWidth="1"/>
    <col min="3" max="3" width="89" bestFit="1" customWidth="1"/>
    <col min="4" max="4" width="32" bestFit="1" customWidth="1"/>
    <col min="5" max="5" width="29.85546875" customWidth="1"/>
    <col min="6" max="6" width="16.85546875" bestFit="1" customWidth="1"/>
    <col min="7" max="7" width="14.140625" customWidth="1"/>
    <col min="8" max="8" width="15.5703125" customWidth="1"/>
    <col min="9" max="9" width="15.85546875" customWidth="1"/>
    <col min="10" max="10" width="16.5703125" customWidth="1"/>
    <col min="11" max="11" width="18" customWidth="1"/>
    <col min="12" max="12" width="20.7109375" customWidth="1"/>
    <col min="13" max="13" width="20.5703125" customWidth="1"/>
    <col min="14" max="14" width="22.42578125" customWidth="1"/>
    <col min="15" max="15" width="23.42578125" customWidth="1"/>
    <col min="20" max="20" width="8.85546875" customWidth="1"/>
  </cols>
  <sheetData>
    <row r="3" spans="2:15" x14ac:dyDescent="0.25">
      <c r="B3" s="9" t="s">
        <v>3</v>
      </c>
      <c r="F3" s="32"/>
    </row>
    <row r="4" spans="2:15" x14ac:dyDescent="0.25">
      <c r="B4" s="66" t="s">
        <v>0</v>
      </c>
    </row>
    <row r="5" spans="2:15" x14ac:dyDescent="0.25">
      <c r="B5" s="66" t="s">
        <v>1</v>
      </c>
    </row>
    <row r="6" spans="2:15" x14ac:dyDescent="0.25">
      <c r="B6" s="66" t="s">
        <v>2</v>
      </c>
    </row>
    <row r="7" spans="2:15" x14ac:dyDescent="0.25">
      <c r="B7" s="3"/>
    </row>
    <row r="9" spans="2:15" ht="30" x14ac:dyDescent="0.25">
      <c r="B9" s="9" t="s">
        <v>33</v>
      </c>
      <c r="C9" s="9"/>
      <c r="D9" s="9" t="s">
        <v>107</v>
      </c>
      <c r="E9" s="9" t="s">
        <v>32</v>
      </c>
      <c r="F9" s="9" t="s">
        <v>42</v>
      </c>
      <c r="G9" s="9" t="s">
        <v>36</v>
      </c>
      <c r="H9" s="66"/>
      <c r="I9" s="330" t="str">
        <f>Classification!$C$3</f>
        <v>2.1 Frame</v>
      </c>
      <c r="J9" s="330" t="str">
        <f>Classification!$C$4</f>
        <v>2.2 Upper floors</v>
      </c>
      <c r="K9" s="330" t="str">
        <f>Classification!$C$5</f>
        <v>2.3 Roof</v>
      </c>
      <c r="L9" s="330" t="str">
        <f>Classification!$C$6</f>
        <v>2.4 Stairs and ramps</v>
      </c>
      <c r="M9" s="330" t="str">
        <f>Classification!$C$7</f>
        <v>2.5 External walls</v>
      </c>
      <c r="N9" s="330" t="str">
        <f>Classification!$C$8</f>
        <v>2.6 Windows and external doors</v>
      </c>
      <c r="O9" s="330" t="str">
        <f>Classification!$C$9</f>
        <v>2.7 Internal walls and partitions</v>
      </c>
    </row>
    <row r="10" spans="2:15" x14ac:dyDescent="0.25">
      <c r="B10" s="66" t="s">
        <v>18</v>
      </c>
      <c r="C10" s="66"/>
      <c r="D10" s="66" t="s">
        <v>31</v>
      </c>
      <c r="E10" s="66" t="s">
        <v>108</v>
      </c>
      <c r="F10" s="66" t="s">
        <v>15</v>
      </c>
      <c r="G10" s="131">
        <v>2.4</v>
      </c>
      <c r="H10" s="66" t="s">
        <v>18</v>
      </c>
      <c r="I10" s="15">
        <v>1</v>
      </c>
      <c r="J10" s="15">
        <v>1</v>
      </c>
      <c r="K10" s="15">
        <v>1</v>
      </c>
      <c r="L10" s="15">
        <v>1</v>
      </c>
      <c r="M10" s="15">
        <v>1</v>
      </c>
      <c r="N10" s="15">
        <v>1</v>
      </c>
      <c r="O10" s="15">
        <v>0</v>
      </c>
    </row>
    <row r="11" spans="2:15" x14ac:dyDescent="0.25">
      <c r="B11" s="66" t="s">
        <v>19</v>
      </c>
      <c r="C11" s="66"/>
      <c r="D11" s="66" t="s">
        <v>31</v>
      </c>
      <c r="E11" s="66" t="s">
        <v>35</v>
      </c>
      <c r="F11" s="66" t="s">
        <v>15</v>
      </c>
      <c r="G11" s="131">
        <v>2.2200000000000002</v>
      </c>
      <c r="H11" s="66" t="s">
        <v>19</v>
      </c>
      <c r="I11" s="15">
        <v>1</v>
      </c>
      <c r="J11" s="15">
        <v>1</v>
      </c>
      <c r="K11" s="15">
        <v>1</v>
      </c>
      <c r="L11" s="15">
        <v>1</v>
      </c>
      <c r="M11" s="15">
        <v>1</v>
      </c>
      <c r="N11" s="15">
        <v>1</v>
      </c>
      <c r="O11" s="15">
        <v>0</v>
      </c>
    </row>
    <row r="12" spans="2:15" x14ac:dyDescent="0.25">
      <c r="B12" s="66" t="s">
        <v>20</v>
      </c>
      <c r="C12" s="66"/>
      <c r="D12" s="66" t="s">
        <v>31</v>
      </c>
      <c r="E12" s="66" t="s">
        <v>105</v>
      </c>
      <c r="F12" s="66" t="s">
        <v>15</v>
      </c>
      <c r="G12" s="131">
        <v>2.1800000000000002</v>
      </c>
      <c r="H12" s="66" t="s">
        <v>20</v>
      </c>
      <c r="I12" s="15">
        <v>1</v>
      </c>
      <c r="J12" s="15">
        <v>1</v>
      </c>
      <c r="K12" s="15">
        <v>1</v>
      </c>
      <c r="L12" s="15">
        <v>1</v>
      </c>
      <c r="M12" s="15">
        <v>1</v>
      </c>
      <c r="N12" s="15">
        <v>1</v>
      </c>
      <c r="O12" s="15">
        <v>0</v>
      </c>
    </row>
    <row r="13" spans="2:15" x14ac:dyDescent="0.25">
      <c r="B13" s="66" t="s">
        <v>21</v>
      </c>
      <c r="C13" s="66"/>
      <c r="D13" s="66" t="s">
        <v>106</v>
      </c>
      <c r="E13" s="66" t="s">
        <v>31</v>
      </c>
      <c r="F13" s="66" t="s">
        <v>16</v>
      </c>
      <c r="G13" s="66" t="s">
        <v>34</v>
      </c>
      <c r="H13" s="66" t="s">
        <v>21</v>
      </c>
      <c r="I13" s="347">
        <v>1</v>
      </c>
      <c r="J13" s="347">
        <v>1</v>
      </c>
      <c r="K13" s="347">
        <v>1</v>
      </c>
      <c r="L13" s="347">
        <v>1</v>
      </c>
      <c r="M13" s="347">
        <v>1</v>
      </c>
      <c r="N13" s="347">
        <v>1</v>
      </c>
      <c r="O13" s="347">
        <v>1</v>
      </c>
    </row>
    <row r="14" spans="2:15" x14ac:dyDescent="0.25">
      <c r="B14" s="66" t="s">
        <v>22</v>
      </c>
      <c r="C14" s="66"/>
      <c r="D14" s="66" t="s">
        <v>112</v>
      </c>
      <c r="E14" s="66" t="s">
        <v>31</v>
      </c>
      <c r="F14" s="66" t="s">
        <v>16</v>
      </c>
      <c r="G14" s="66" t="s">
        <v>34</v>
      </c>
      <c r="H14" s="66" t="s">
        <v>22</v>
      </c>
      <c r="I14" s="347">
        <v>1</v>
      </c>
      <c r="J14" s="347">
        <v>1</v>
      </c>
      <c r="K14" s="347">
        <v>1</v>
      </c>
      <c r="L14" s="347">
        <v>1</v>
      </c>
      <c r="M14" s="347">
        <v>1</v>
      </c>
      <c r="N14" s="347">
        <v>1</v>
      </c>
      <c r="O14" s="347">
        <v>0</v>
      </c>
    </row>
    <row r="15" spans="2:15" x14ac:dyDescent="0.25">
      <c r="B15" s="66" t="s">
        <v>23</v>
      </c>
      <c r="C15" s="66"/>
      <c r="D15" s="66" t="s">
        <v>109</v>
      </c>
      <c r="E15" s="66" t="s">
        <v>31</v>
      </c>
      <c r="F15" s="66" t="s">
        <v>16</v>
      </c>
      <c r="G15" s="66" t="s">
        <v>34</v>
      </c>
      <c r="H15" s="66" t="s">
        <v>23</v>
      </c>
      <c r="I15" s="347">
        <v>1</v>
      </c>
      <c r="J15" s="347">
        <v>1</v>
      </c>
      <c r="K15" s="347">
        <v>1</v>
      </c>
      <c r="L15" s="347">
        <v>1</v>
      </c>
      <c r="M15" s="347">
        <v>1</v>
      </c>
      <c r="N15" s="347">
        <v>1</v>
      </c>
      <c r="O15" s="347">
        <v>0</v>
      </c>
    </row>
    <row r="16" spans="2:15" x14ac:dyDescent="0.25">
      <c r="B16" s="66" t="s">
        <v>24</v>
      </c>
      <c r="C16" s="66"/>
      <c r="D16" s="66" t="s">
        <v>110</v>
      </c>
      <c r="E16" s="66" t="s">
        <v>31</v>
      </c>
      <c r="F16" s="66" t="s">
        <v>16</v>
      </c>
      <c r="G16" s="66" t="s">
        <v>34</v>
      </c>
      <c r="H16" s="66" t="s">
        <v>24</v>
      </c>
      <c r="I16" s="347">
        <v>1</v>
      </c>
      <c r="J16" s="347">
        <v>1</v>
      </c>
      <c r="K16" s="347">
        <v>1</v>
      </c>
      <c r="L16" s="347">
        <v>1</v>
      </c>
      <c r="M16" s="347">
        <v>1</v>
      </c>
      <c r="N16" s="347">
        <v>1</v>
      </c>
      <c r="O16" s="347">
        <v>0</v>
      </c>
    </row>
    <row r="17" spans="2:15" x14ac:dyDescent="0.25">
      <c r="B17" s="66" t="s">
        <v>25</v>
      </c>
      <c r="C17" s="66"/>
      <c r="D17" s="66" t="s">
        <v>111</v>
      </c>
      <c r="E17" s="66" t="s">
        <v>31</v>
      </c>
      <c r="F17" s="66" t="s">
        <v>16</v>
      </c>
      <c r="G17" s="66" t="s">
        <v>34</v>
      </c>
      <c r="H17" s="66" t="s">
        <v>25</v>
      </c>
      <c r="I17" s="347">
        <v>1</v>
      </c>
      <c r="J17" s="347">
        <v>1</v>
      </c>
      <c r="K17" s="347">
        <v>1</v>
      </c>
      <c r="L17" s="347">
        <v>1</v>
      </c>
      <c r="M17" s="347">
        <v>1</v>
      </c>
      <c r="N17" s="347">
        <v>1</v>
      </c>
      <c r="O17" s="347">
        <v>0</v>
      </c>
    </row>
    <row r="18" spans="2:15" x14ac:dyDescent="0.25">
      <c r="B18" s="66" t="s">
        <v>26</v>
      </c>
      <c r="C18" s="66"/>
      <c r="D18" s="66" t="s">
        <v>111</v>
      </c>
      <c r="E18" s="66" t="s">
        <v>31</v>
      </c>
      <c r="F18" s="66" t="s">
        <v>16</v>
      </c>
      <c r="G18" s="66" t="s">
        <v>34</v>
      </c>
      <c r="H18" s="66" t="s">
        <v>26</v>
      </c>
      <c r="I18" s="347">
        <v>1</v>
      </c>
      <c r="J18" s="347">
        <v>1</v>
      </c>
      <c r="K18" s="347">
        <v>1</v>
      </c>
      <c r="L18" s="347">
        <v>1</v>
      </c>
      <c r="M18" s="347">
        <v>1</v>
      </c>
      <c r="N18" s="347">
        <v>1</v>
      </c>
      <c r="O18" s="347">
        <v>0</v>
      </c>
    </row>
    <row r="19" spans="2:15" x14ac:dyDescent="0.25">
      <c r="B19" s="66" t="s">
        <v>27</v>
      </c>
      <c r="C19" s="66"/>
      <c r="D19" s="66" t="s">
        <v>31</v>
      </c>
      <c r="E19" s="66" t="s">
        <v>108</v>
      </c>
      <c r="F19" s="66" t="s">
        <v>16</v>
      </c>
      <c r="G19" s="66" t="s">
        <v>34</v>
      </c>
      <c r="H19" s="66" t="s">
        <v>27</v>
      </c>
      <c r="I19" s="347">
        <v>1</v>
      </c>
      <c r="J19" s="347">
        <v>1</v>
      </c>
      <c r="K19" s="347">
        <v>1</v>
      </c>
      <c r="L19" s="347">
        <v>1</v>
      </c>
      <c r="M19" s="347">
        <v>1</v>
      </c>
      <c r="N19" s="347">
        <v>1</v>
      </c>
      <c r="O19" s="347">
        <v>0</v>
      </c>
    </row>
    <row r="20" spans="2:15" x14ac:dyDescent="0.25">
      <c r="B20" s="66" t="s">
        <v>28</v>
      </c>
      <c r="C20" s="66"/>
      <c r="D20" s="66" t="s">
        <v>31</v>
      </c>
      <c r="E20" s="66" t="s">
        <v>108</v>
      </c>
      <c r="F20" s="66" t="s">
        <v>16</v>
      </c>
      <c r="G20" s="66" t="s">
        <v>34</v>
      </c>
      <c r="H20" s="66" t="s">
        <v>28</v>
      </c>
      <c r="I20" s="347">
        <v>1</v>
      </c>
      <c r="J20" s="347">
        <v>1</v>
      </c>
      <c r="K20" s="347">
        <v>1</v>
      </c>
      <c r="L20" s="347">
        <v>1</v>
      </c>
      <c r="M20" s="347">
        <v>1</v>
      </c>
      <c r="N20" s="347">
        <v>1</v>
      </c>
      <c r="O20" s="347">
        <v>0</v>
      </c>
    </row>
    <row r="21" spans="2:15" x14ac:dyDescent="0.25">
      <c r="B21" s="66" t="s">
        <v>255</v>
      </c>
      <c r="C21" s="66"/>
      <c r="D21" s="66" t="s">
        <v>31</v>
      </c>
      <c r="E21" s="66" t="s">
        <v>108</v>
      </c>
      <c r="F21" s="66" t="s">
        <v>16</v>
      </c>
      <c r="G21" s="66" t="s">
        <v>34</v>
      </c>
      <c r="H21" s="66" t="s">
        <v>255</v>
      </c>
      <c r="I21" s="347">
        <v>1</v>
      </c>
      <c r="J21" s="347">
        <v>1</v>
      </c>
      <c r="K21" s="347">
        <v>1</v>
      </c>
      <c r="L21" s="347">
        <v>1</v>
      </c>
      <c r="M21" s="347">
        <v>1</v>
      </c>
      <c r="N21" s="347">
        <v>1</v>
      </c>
      <c r="O21" s="347">
        <v>0</v>
      </c>
    </row>
    <row r="22" spans="2:15" x14ac:dyDescent="0.25">
      <c r="B22" s="66" t="s">
        <v>29</v>
      </c>
      <c r="C22" s="66"/>
      <c r="D22" s="66" t="s">
        <v>31</v>
      </c>
      <c r="E22" s="66" t="s">
        <v>108</v>
      </c>
      <c r="F22" s="66" t="s">
        <v>16</v>
      </c>
      <c r="G22" s="66" t="s">
        <v>34</v>
      </c>
      <c r="H22" s="66" t="s">
        <v>29</v>
      </c>
      <c r="I22" s="347">
        <v>1</v>
      </c>
      <c r="J22" s="347">
        <v>1</v>
      </c>
      <c r="K22" s="347">
        <v>1</v>
      </c>
      <c r="L22" s="347">
        <v>1</v>
      </c>
      <c r="M22" s="347">
        <v>1</v>
      </c>
      <c r="N22" s="347">
        <v>1</v>
      </c>
      <c r="O22" s="347">
        <v>0</v>
      </c>
    </row>
    <row r="23" spans="2:15" x14ac:dyDescent="0.25">
      <c r="B23" s="66" t="s">
        <v>30</v>
      </c>
      <c r="C23" s="66"/>
      <c r="D23" s="66" t="s">
        <v>31</v>
      </c>
      <c r="E23" s="66" t="s">
        <v>108</v>
      </c>
      <c r="F23" s="66" t="s">
        <v>16</v>
      </c>
      <c r="G23" s="66" t="s">
        <v>34</v>
      </c>
      <c r="H23" s="66" t="s">
        <v>30</v>
      </c>
      <c r="I23" s="347">
        <v>1</v>
      </c>
      <c r="J23" s="347">
        <v>1</v>
      </c>
      <c r="K23" s="347">
        <v>1</v>
      </c>
      <c r="L23" s="347">
        <v>1</v>
      </c>
      <c r="M23" s="347">
        <v>1</v>
      </c>
      <c r="N23" s="347">
        <v>1</v>
      </c>
      <c r="O23" s="347">
        <v>0</v>
      </c>
    </row>
    <row r="25" spans="2:15" x14ac:dyDescent="0.25">
      <c r="B25" s="9" t="s">
        <v>173</v>
      </c>
      <c r="C25" s="9"/>
      <c r="D25" s="353" t="s">
        <v>200</v>
      </c>
      <c r="E25" s="353"/>
      <c r="F25" s="353"/>
      <c r="G25" s="353"/>
      <c r="H25" s="354" t="s">
        <v>201</v>
      </c>
      <c r="I25" s="354"/>
    </row>
    <row r="26" spans="2:15" x14ac:dyDescent="0.25">
      <c r="B26" s="66"/>
      <c r="C26" s="66"/>
      <c r="D26" s="66"/>
      <c r="E26" s="66">
        <v>2</v>
      </c>
      <c r="F26" s="66">
        <v>3</v>
      </c>
      <c r="G26" s="66">
        <v>4</v>
      </c>
      <c r="H26" s="66">
        <v>2</v>
      </c>
      <c r="I26" s="66">
        <v>3</v>
      </c>
      <c r="K26" t="s">
        <v>39</v>
      </c>
    </row>
    <row r="27" spans="2:15" x14ac:dyDescent="0.25">
      <c r="B27" s="67" t="s">
        <v>36</v>
      </c>
      <c r="C27" s="67" t="s">
        <v>174</v>
      </c>
      <c r="D27" s="68"/>
      <c r="E27" s="68">
        <f t="shared" ref="E27:I27" si="0">E29*$K27</f>
        <v>0.66666666666666674</v>
      </c>
      <c r="F27" s="68">
        <f t="shared" si="0"/>
        <v>1</v>
      </c>
      <c r="G27" s="68">
        <f t="shared" si="0"/>
        <v>1.3333333333333335</v>
      </c>
      <c r="H27" s="68">
        <f t="shared" si="0"/>
        <v>0.33333333333333331</v>
      </c>
      <c r="I27" s="68">
        <f t="shared" si="0"/>
        <v>0.66666666666666663</v>
      </c>
      <c r="K27" s="67">
        <v>0.5</v>
      </c>
    </row>
    <row r="28" spans="2:15" x14ac:dyDescent="0.25">
      <c r="B28" s="67"/>
      <c r="C28" s="67" t="s">
        <v>175</v>
      </c>
      <c r="D28" s="68"/>
      <c r="E28" s="68">
        <f t="shared" ref="E28:I28" si="1">E29*$K28</f>
        <v>0.66666666666666674</v>
      </c>
      <c r="F28" s="68">
        <f t="shared" si="1"/>
        <v>1</v>
      </c>
      <c r="G28" s="68">
        <f t="shared" si="1"/>
        <v>1.3333333333333335</v>
      </c>
      <c r="H28" s="68">
        <f t="shared" si="1"/>
        <v>0.33333333333333331</v>
      </c>
      <c r="I28" s="68">
        <f t="shared" si="1"/>
        <v>0.66666666666666663</v>
      </c>
      <c r="K28" s="346">
        <f>1/2</f>
        <v>0.5</v>
      </c>
    </row>
    <row r="29" spans="2:15" x14ac:dyDescent="0.25">
      <c r="B29" s="67"/>
      <c r="C29" s="67" t="s">
        <v>176</v>
      </c>
      <c r="D29" s="68"/>
      <c r="E29" s="68">
        <v>1.3333333333333335</v>
      </c>
      <c r="F29" s="68">
        <v>2</v>
      </c>
      <c r="G29" s="68">
        <v>2.666666666666667</v>
      </c>
      <c r="H29" s="68">
        <v>0.66666666666666663</v>
      </c>
      <c r="I29" s="68">
        <v>1.3333333333333333</v>
      </c>
      <c r="K29" s="67"/>
    </row>
    <row r="30" spans="2:15" x14ac:dyDescent="0.25">
      <c r="B30" s="69" t="s">
        <v>37</v>
      </c>
      <c r="C30" s="69" t="s">
        <v>174</v>
      </c>
      <c r="D30" s="70"/>
      <c r="E30" s="70">
        <f t="shared" ref="E30:I30" si="2">E32*$K30</f>
        <v>1</v>
      </c>
      <c r="F30" s="70">
        <f t="shared" si="2"/>
        <v>1.5</v>
      </c>
      <c r="G30" s="70">
        <f t="shared" si="2"/>
        <v>2</v>
      </c>
      <c r="H30" s="70">
        <f t="shared" si="2"/>
        <v>0.5</v>
      </c>
      <c r="I30" s="70">
        <f t="shared" si="2"/>
        <v>1</v>
      </c>
      <c r="K30" s="69">
        <v>0.5</v>
      </c>
    </row>
    <row r="31" spans="2:15" x14ac:dyDescent="0.25">
      <c r="B31" s="69"/>
      <c r="C31" s="69" t="s">
        <v>175</v>
      </c>
      <c r="D31" s="70"/>
      <c r="E31" s="70">
        <f t="shared" ref="E31:I31" si="3">E32*$K31</f>
        <v>1</v>
      </c>
      <c r="F31" s="70">
        <f t="shared" si="3"/>
        <v>1.5</v>
      </c>
      <c r="G31" s="70">
        <f t="shared" si="3"/>
        <v>2</v>
      </c>
      <c r="H31" s="70">
        <f t="shared" si="3"/>
        <v>0.5</v>
      </c>
      <c r="I31" s="70">
        <f t="shared" si="3"/>
        <v>1</v>
      </c>
      <c r="K31" s="346">
        <f>1/2</f>
        <v>0.5</v>
      </c>
    </row>
    <row r="32" spans="2:15" x14ac:dyDescent="0.25">
      <c r="B32" s="69"/>
      <c r="C32" s="69" t="s">
        <v>176</v>
      </c>
      <c r="D32" s="70"/>
      <c r="E32" s="70">
        <v>2</v>
      </c>
      <c r="F32" s="70">
        <v>3</v>
      </c>
      <c r="G32" s="70">
        <v>4</v>
      </c>
      <c r="H32" s="70">
        <v>1</v>
      </c>
      <c r="I32" s="70">
        <v>2</v>
      </c>
      <c r="K32" s="69"/>
    </row>
    <row r="35" spans="2:4" x14ac:dyDescent="0.25">
      <c r="B35" s="9" t="s">
        <v>81</v>
      </c>
      <c r="D35" s="77"/>
    </row>
    <row r="36" spans="2:4" x14ac:dyDescent="0.25">
      <c r="B36" s="66" t="s">
        <v>243</v>
      </c>
      <c r="D36" s="6"/>
    </row>
    <row r="37" spans="2:4" x14ac:dyDescent="0.25">
      <c r="B37" s="66" t="s">
        <v>85</v>
      </c>
      <c r="D37" s="6"/>
    </row>
    <row r="38" spans="2:4" x14ac:dyDescent="0.25">
      <c r="B38" s="66" t="s">
        <v>86</v>
      </c>
      <c r="D38" s="6"/>
    </row>
    <row r="39" spans="2:4" x14ac:dyDescent="0.25">
      <c r="B39" s="66" t="s">
        <v>87</v>
      </c>
      <c r="D39" s="6"/>
    </row>
    <row r="40" spans="2:4" x14ac:dyDescent="0.25">
      <c r="B40" s="66" t="s">
        <v>84</v>
      </c>
      <c r="D40" s="6"/>
    </row>
    <row r="41" spans="2:4" x14ac:dyDescent="0.25">
      <c r="B41" s="66" t="s">
        <v>202</v>
      </c>
      <c r="D41" s="6"/>
    </row>
    <row r="42" spans="2:4" x14ac:dyDescent="0.25">
      <c r="B42" s="66" t="s">
        <v>80</v>
      </c>
      <c r="D42" s="6"/>
    </row>
    <row r="43" spans="2:4" x14ac:dyDescent="0.25">
      <c r="B43" s="66" t="s">
        <v>83</v>
      </c>
      <c r="D43" s="6"/>
    </row>
    <row r="44" spans="2:4" x14ac:dyDescent="0.25">
      <c r="B44" s="66" t="s">
        <v>29</v>
      </c>
      <c r="D44" s="6"/>
    </row>
    <row r="45" spans="2:4" x14ac:dyDescent="0.25">
      <c r="B45" s="10"/>
      <c r="D45" s="6"/>
    </row>
    <row r="46" spans="2:4" x14ac:dyDescent="0.25">
      <c r="B46" s="10"/>
      <c r="D46" s="6"/>
    </row>
    <row r="49" spans="2:3" x14ac:dyDescent="0.25">
      <c r="B49" s="9" t="s">
        <v>224</v>
      </c>
      <c r="C49" s="61"/>
    </row>
    <row r="50" spans="2:3" ht="39" x14ac:dyDescent="0.25">
      <c r="B50" s="79" t="s">
        <v>221</v>
      </c>
      <c r="C50" s="66">
        <v>0.5</v>
      </c>
    </row>
    <row r="51" spans="2:3" ht="39" x14ac:dyDescent="0.25">
      <c r="B51" s="79" t="s">
        <v>222</v>
      </c>
      <c r="C51" s="66">
        <v>0.75</v>
      </c>
    </row>
    <row r="52" spans="2:3" ht="89.25" x14ac:dyDescent="0.25">
      <c r="B52" s="80" t="s">
        <v>223</v>
      </c>
      <c r="C52" s="66">
        <v>1.5</v>
      </c>
    </row>
    <row r="53" spans="2:3" x14ac:dyDescent="0.25">
      <c r="B53" s="78"/>
    </row>
    <row r="55" spans="2:3" x14ac:dyDescent="0.25">
      <c r="B55" s="61" t="s">
        <v>334</v>
      </c>
    </row>
    <row r="57" spans="2:3" x14ac:dyDescent="0.25">
      <c r="B57" t="s">
        <v>335</v>
      </c>
    </row>
    <row r="58" spans="2:3" x14ac:dyDescent="0.25">
      <c r="B58" t="s">
        <v>336</v>
      </c>
    </row>
    <row r="59" spans="2:3" x14ac:dyDescent="0.25">
      <c r="B59" t="s">
        <v>339</v>
      </c>
    </row>
    <row r="60" spans="2:3" x14ac:dyDescent="0.25">
      <c r="B60" t="s">
        <v>340</v>
      </c>
    </row>
  </sheetData>
  <mergeCells count="2">
    <mergeCell ref="D25:G25"/>
    <mergeCell ref="H25:I25"/>
  </mergeCells>
  <dataValidations count="1">
    <dataValidation allowBlank="1" showInputMessage="1" showErrorMessage="1" promptTitle="v2 cap change" prompt="change from 1/3 to 1/2" sqref="K28 K31" xr:uid="{C8993AFE-A737-44DC-BF5D-B80A6DBC31FE}"/>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W25"/>
  <sheetViews>
    <sheetView zoomScale="60" zoomScaleNormal="60" workbookViewId="0">
      <selection activeCell="B3" sqref="B3"/>
    </sheetView>
  </sheetViews>
  <sheetFormatPr defaultRowHeight="15" x14ac:dyDescent="0.25"/>
  <cols>
    <col min="1" max="1" width="12.28515625" bestFit="1" customWidth="1"/>
    <col min="2" max="2" width="19.7109375" customWidth="1"/>
    <col min="3" max="3" width="23.28515625" customWidth="1"/>
    <col min="4" max="4" width="15.7109375" bestFit="1" customWidth="1"/>
    <col min="5" max="5" width="7" customWidth="1"/>
    <col min="6" max="6" width="9.140625" bestFit="1" customWidth="1"/>
    <col min="7" max="10" width="7" customWidth="1"/>
    <col min="12" max="12" width="6.85546875" customWidth="1"/>
    <col min="13" max="13" width="7.85546875" bestFit="1" customWidth="1"/>
  </cols>
  <sheetData>
    <row r="1" spans="1:23" x14ac:dyDescent="0.25">
      <c r="A1" s="10"/>
      <c r="B1" s="10"/>
      <c r="C1" s="10"/>
      <c r="D1" s="10"/>
      <c r="E1" s="10"/>
      <c r="F1" s="10"/>
      <c r="G1" s="10"/>
      <c r="J1" s="10"/>
      <c r="K1" s="19"/>
      <c r="L1" s="10"/>
      <c r="M1" s="10"/>
      <c r="N1" s="10"/>
      <c r="O1" s="10"/>
      <c r="P1" s="10"/>
      <c r="Q1" s="10"/>
      <c r="R1" s="19"/>
      <c r="S1" s="10"/>
      <c r="T1" s="10"/>
      <c r="U1" s="10"/>
      <c r="V1" s="10"/>
      <c r="W1" s="10"/>
    </row>
    <row r="2" spans="1:23" x14ac:dyDescent="0.25">
      <c r="A2" s="6"/>
      <c r="B2" s="65" t="s">
        <v>342</v>
      </c>
      <c r="C2" s="62"/>
      <c r="D2" s="62"/>
      <c r="E2" s="6"/>
      <c r="F2" s="344" t="s">
        <v>341</v>
      </c>
      <c r="G2" s="344"/>
      <c r="H2" s="345"/>
      <c r="J2" s="10"/>
      <c r="K2" s="18"/>
      <c r="L2" s="10"/>
      <c r="M2" s="10"/>
      <c r="N2" s="10"/>
      <c r="O2" s="10"/>
      <c r="P2" s="24"/>
      <c r="Q2" s="10"/>
      <c r="R2" s="10"/>
      <c r="S2" s="11"/>
      <c r="T2" s="11"/>
      <c r="U2" s="11"/>
      <c r="V2" s="11"/>
      <c r="W2" s="11"/>
    </row>
    <row r="3" spans="1:23" x14ac:dyDescent="0.25">
      <c r="A3" s="6"/>
      <c r="B3" s="12"/>
      <c r="C3" s="6"/>
      <c r="D3" s="6"/>
      <c r="E3" s="12"/>
      <c r="F3" s="10"/>
      <c r="G3" s="10"/>
      <c r="H3" s="12"/>
      <c r="J3" s="10"/>
      <c r="K3" s="10"/>
      <c r="L3" s="10"/>
      <c r="M3" s="10"/>
      <c r="N3" s="10"/>
      <c r="O3" s="10"/>
      <c r="P3" s="24"/>
      <c r="Q3" s="10"/>
      <c r="R3" s="20"/>
      <c r="S3" s="20"/>
      <c r="T3" s="23"/>
      <c r="U3" s="23"/>
      <c r="V3" s="23"/>
      <c r="W3" s="23"/>
    </row>
    <row r="4" spans="1:23" x14ac:dyDescent="0.25">
      <c r="A4" s="6"/>
      <c r="B4" s="71" t="s">
        <v>40</v>
      </c>
      <c r="C4" s="29"/>
      <c r="D4" s="29" t="s">
        <v>41</v>
      </c>
      <c r="E4" s="12"/>
      <c r="F4" s="10"/>
      <c r="G4" s="10"/>
      <c r="H4" s="13"/>
      <c r="J4" s="10"/>
      <c r="K4" s="10"/>
      <c r="L4" s="10"/>
      <c r="M4" s="10"/>
      <c r="N4" s="10"/>
      <c r="O4" s="10"/>
      <c r="P4" s="10"/>
      <c r="Q4" s="10"/>
      <c r="R4" s="21"/>
      <c r="S4" s="22"/>
      <c r="T4" s="23"/>
      <c r="U4" s="23"/>
      <c r="V4" s="23"/>
      <c r="W4" s="23"/>
    </row>
    <row r="5" spans="1:23" x14ac:dyDescent="0.25">
      <c r="A5" s="6"/>
      <c r="B5" s="28">
        <v>-16.79999999999999</v>
      </c>
      <c r="C5" s="28"/>
      <c r="D5" s="27">
        <v>0.1</v>
      </c>
      <c r="E5" s="14"/>
      <c r="F5" s="28">
        <v>-7.7000000000000099</v>
      </c>
      <c r="G5" s="28"/>
      <c r="H5" s="27">
        <v>0.1</v>
      </c>
      <c r="J5" s="10"/>
      <c r="K5" s="10"/>
      <c r="L5" s="10"/>
      <c r="M5" s="10"/>
      <c r="N5" s="10"/>
      <c r="O5" s="10"/>
      <c r="P5" s="24"/>
      <c r="Q5" s="10"/>
      <c r="R5" s="21"/>
      <c r="S5" s="22"/>
      <c r="T5" s="23"/>
      <c r="U5" s="23"/>
      <c r="V5" s="23"/>
      <c r="W5" s="23"/>
    </row>
    <row r="6" spans="1:23" x14ac:dyDescent="0.25">
      <c r="A6" s="6"/>
      <c r="B6" s="28">
        <v>-13.499999999999988</v>
      </c>
      <c r="C6" s="28"/>
      <c r="D6" s="27">
        <v>0.2</v>
      </c>
      <c r="E6" s="14"/>
      <c r="F6" s="28">
        <v>-5.3000000000000203</v>
      </c>
      <c r="G6" s="28"/>
      <c r="H6" s="27">
        <v>0.2</v>
      </c>
      <c r="J6" s="10"/>
      <c r="K6" s="10"/>
      <c r="L6" s="10"/>
      <c r="M6" s="10"/>
      <c r="N6" s="10"/>
      <c r="O6" s="10"/>
      <c r="P6" s="24"/>
      <c r="Q6" s="10"/>
      <c r="R6" s="21"/>
      <c r="S6" s="22"/>
      <c r="T6" s="23"/>
      <c r="U6" s="23"/>
      <c r="V6" s="23"/>
      <c r="W6" s="23"/>
    </row>
    <row r="7" spans="1:23" x14ac:dyDescent="0.25">
      <c r="A7" s="6"/>
      <c r="B7" s="28">
        <v>-10.399999999999999</v>
      </c>
      <c r="C7" s="28"/>
      <c r="D7" s="27">
        <v>0.30000000000000004</v>
      </c>
      <c r="E7" s="14"/>
      <c r="F7" s="28">
        <v>-2.9000000000000301</v>
      </c>
      <c r="G7" s="28"/>
      <c r="H7" s="27">
        <v>0.30000000000000004</v>
      </c>
      <c r="J7" s="10"/>
      <c r="K7" s="10"/>
      <c r="L7" s="10"/>
      <c r="M7" s="10"/>
      <c r="N7" s="10"/>
      <c r="O7" s="10"/>
      <c r="P7" s="24"/>
      <c r="Q7" s="10"/>
      <c r="R7" s="21"/>
      <c r="S7" s="22"/>
      <c r="T7" s="23"/>
      <c r="U7" s="23"/>
      <c r="V7" s="23"/>
      <c r="W7" s="23"/>
    </row>
    <row r="8" spans="1:23" x14ac:dyDescent="0.25">
      <c r="A8" s="6"/>
      <c r="B8" s="28">
        <v>-7.4000000000000101</v>
      </c>
      <c r="C8" s="28"/>
      <c r="D8" s="27">
        <v>0.4</v>
      </c>
      <c r="E8" s="14"/>
      <c r="F8" s="28">
        <v>-0.50000000000002998</v>
      </c>
      <c r="G8" s="28"/>
      <c r="H8" s="27">
        <v>0.4</v>
      </c>
      <c r="K8" s="10"/>
      <c r="L8" s="10"/>
      <c r="M8" s="10"/>
      <c r="N8" s="10"/>
      <c r="O8" s="10"/>
      <c r="P8" s="24"/>
      <c r="R8" s="21"/>
      <c r="S8" s="22"/>
      <c r="T8" s="23"/>
      <c r="U8" s="23"/>
      <c r="V8" s="23"/>
      <c r="W8" s="23"/>
    </row>
    <row r="9" spans="1:23" x14ac:dyDescent="0.25">
      <c r="A9" s="6"/>
      <c r="B9" s="28">
        <v>-4.4000000000000199</v>
      </c>
      <c r="C9" s="28"/>
      <c r="D9" s="27">
        <v>0.5</v>
      </c>
      <c r="E9" s="14"/>
      <c r="F9" s="28">
        <v>1.8</v>
      </c>
      <c r="G9" s="28"/>
      <c r="H9" s="27">
        <v>0.5</v>
      </c>
      <c r="K9" s="10"/>
      <c r="L9" s="10"/>
      <c r="M9" s="10"/>
      <c r="N9" s="10"/>
      <c r="O9" s="10"/>
      <c r="P9" s="24"/>
      <c r="R9" s="21"/>
      <c r="S9" s="22"/>
      <c r="T9" s="23"/>
      <c r="U9" s="23"/>
      <c r="V9" s="23"/>
      <c r="W9" s="23"/>
    </row>
    <row r="10" spans="1:23" x14ac:dyDescent="0.25">
      <c r="A10" s="6"/>
      <c r="B10" s="28">
        <v>-1.50000000000003</v>
      </c>
      <c r="C10" s="28"/>
      <c r="D10" s="27">
        <v>0.60000000000000009</v>
      </c>
      <c r="E10" s="14"/>
      <c r="F10" s="28">
        <v>4.2</v>
      </c>
      <c r="G10" s="28"/>
      <c r="H10" s="27">
        <v>0.60000000000000009</v>
      </c>
      <c r="K10" s="10"/>
      <c r="L10" s="10"/>
      <c r="M10" s="10"/>
      <c r="N10" s="10"/>
      <c r="O10" s="10"/>
      <c r="P10" s="24"/>
      <c r="R10" s="21"/>
      <c r="S10" s="22"/>
      <c r="T10" s="23"/>
      <c r="U10" s="23"/>
      <c r="V10" s="23"/>
      <c r="W10" s="23"/>
    </row>
    <row r="11" spans="1:23" x14ac:dyDescent="0.25">
      <c r="A11" s="6"/>
      <c r="B11" s="28">
        <v>1.5</v>
      </c>
      <c r="C11" s="28"/>
      <c r="D11" s="27">
        <v>0.70000000000000007</v>
      </c>
      <c r="E11" s="14"/>
      <c r="F11" s="28">
        <v>6.6</v>
      </c>
      <c r="G11" s="28"/>
      <c r="H11" s="27">
        <v>0.70000000000000007</v>
      </c>
      <c r="K11" s="10"/>
      <c r="L11" s="10"/>
      <c r="M11" s="10"/>
      <c r="N11" s="10"/>
      <c r="O11" s="10"/>
      <c r="P11" s="24"/>
      <c r="R11" s="21"/>
      <c r="S11" s="22"/>
      <c r="T11" s="23"/>
      <c r="U11" s="23"/>
      <c r="V11" s="23"/>
      <c r="W11" s="23"/>
    </row>
    <row r="12" spans="1:23" x14ac:dyDescent="0.25">
      <c r="A12" s="6"/>
      <c r="B12" s="28">
        <v>4.4000000000000004</v>
      </c>
      <c r="C12" s="28"/>
      <c r="D12" s="27">
        <v>0.8</v>
      </c>
      <c r="E12" s="14"/>
      <c r="F12" s="28">
        <v>9.1</v>
      </c>
      <c r="G12" s="28"/>
      <c r="H12" s="27">
        <v>0.8</v>
      </c>
      <c r="K12" s="10"/>
      <c r="L12" s="10"/>
      <c r="M12" s="10"/>
      <c r="N12" s="10"/>
      <c r="O12" s="10"/>
      <c r="P12" s="24"/>
      <c r="R12" s="21"/>
      <c r="S12" s="22"/>
      <c r="T12" s="23"/>
      <c r="U12" s="23"/>
      <c r="V12" s="23"/>
      <c r="W12" s="23"/>
    </row>
    <row r="13" spans="1:23" x14ac:dyDescent="0.25">
      <c r="A13" s="6"/>
      <c r="B13" s="28">
        <v>7.4</v>
      </c>
      <c r="C13" s="28"/>
      <c r="D13" s="27">
        <v>0.9</v>
      </c>
      <c r="E13" s="14"/>
      <c r="F13" s="28">
        <v>11.6</v>
      </c>
      <c r="G13" s="28"/>
      <c r="H13" s="27">
        <v>0.9</v>
      </c>
      <c r="K13" s="10"/>
      <c r="L13" s="10"/>
      <c r="M13" s="10"/>
      <c r="N13" s="10"/>
      <c r="O13" s="10"/>
      <c r="P13" s="24"/>
      <c r="R13" s="21"/>
      <c r="S13" s="22"/>
      <c r="T13" s="23"/>
      <c r="U13" s="23"/>
      <c r="V13" s="23"/>
      <c r="W13" s="23"/>
    </row>
    <row r="14" spans="1:23" x14ac:dyDescent="0.25">
      <c r="A14" s="6"/>
      <c r="B14" s="28">
        <v>10.4</v>
      </c>
      <c r="C14" s="28"/>
      <c r="D14" s="27">
        <v>1</v>
      </c>
      <c r="E14" s="14"/>
      <c r="F14" s="28">
        <v>14.1</v>
      </c>
      <c r="G14" s="28"/>
      <c r="H14" s="27">
        <v>1</v>
      </c>
      <c r="K14" s="10"/>
      <c r="L14" s="10"/>
      <c r="M14" s="10"/>
      <c r="N14" s="10"/>
      <c r="O14" s="10"/>
      <c r="P14" s="24"/>
      <c r="R14" s="21"/>
      <c r="S14" s="22"/>
      <c r="T14" s="23"/>
      <c r="U14" s="23"/>
      <c r="V14" s="23"/>
      <c r="W14" s="23"/>
    </row>
    <row r="15" spans="1:23" x14ac:dyDescent="0.25">
      <c r="A15" s="6"/>
      <c r="B15" s="28">
        <v>13.5</v>
      </c>
      <c r="C15" s="28"/>
      <c r="D15" s="27">
        <v>1.1000000000000001</v>
      </c>
      <c r="E15" s="14"/>
      <c r="F15" s="28">
        <v>16.8</v>
      </c>
      <c r="G15" s="28"/>
      <c r="H15" s="27">
        <v>1.1000000000000001</v>
      </c>
      <c r="K15" s="10"/>
      <c r="L15" s="10"/>
      <c r="M15" s="10"/>
      <c r="N15" s="10"/>
      <c r="O15" s="10"/>
      <c r="P15" s="24"/>
      <c r="R15" s="21"/>
      <c r="S15" s="22"/>
      <c r="T15" s="23"/>
      <c r="U15" s="23"/>
      <c r="V15" s="23"/>
      <c r="W15" s="23"/>
    </row>
    <row r="16" spans="1:23" x14ac:dyDescent="0.25">
      <c r="A16" s="6"/>
      <c r="B16" s="28">
        <v>16.8</v>
      </c>
      <c r="C16" s="28"/>
      <c r="D16" s="27">
        <v>1.2000000000000002</v>
      </c>
      <c r="E16" s="14"/>
      <c r="F16" s="28">
        <v>19.600000000000001</v>
      </c>
      <c r="G16" s="28"/>
      <c r="H16" s="27">
        <v>1.2000000000000002</v>
      </c>
      <c r="K16" s="10"/>
      <c r="L16" s="10"/>
      <c r="M16" s="10"/>
      <c r="N16" s="10"/>
      <c r="O16" s="10"/>
      <c r="P16" s="24"/>
      <c r="R16" s="21"/>
      <c r="S16" s="22"/>
      <c r="T16" s="23"/>
      <c r="U16" s="23"/>
      <c r="V16" s="23"/>
      <c r="W16" s="23"/>
    </row>
    <row r="17" spans="1:23" x14ac:dyDescent="0.25">
      <c r="A17" s="6"/>
      <c r="B17" s="28">
        <v>20.2</v>
      </c>
      <c r="C17" s="28"/>
      <c r="D17" s="27">
        <v>1.3</v>
      </c>
      <c r="E17" s="14"/>
      <c r="F17" s="28">
        <v>22.5</v>
      </c>
      <c r="G17" s="28"/>
      <c r="H17" s="27">
        <v>1.3</v>
      </c>
      <c r="K17" s="10"/>
      <c r="L17" s="10"/>
      <c r="M17" s="10"/>
      <c r="N17" s="10"/>
      <c r="O17" s="10"/>
      <c r="P17" s="24"/>
      <c r="R17" s="21"/>
      <c r="S17" s="22"/>
      <c r="T17" s="23"/>
      <c r="U17" s="23"/>
      <c r="V17" s="23"/>
      <c r="W17" s="23"/>
    </row>
    <row r="18" spans="1:23" x14ac:dyDescent="0.25">
      <c r="A18" s="6"/>
      <c r="B18" s="28">
        <v>23.8</v>
      </c>
      <c r="C18" s="28"/>
      <c r="D18" s="27">
        <v>1.4000000000000001</v>
      </c>
      <c r="E18" s="14"/>
      <c r="F18" s="28">
        <v>25.7</v>
      </c>
      <c r="G18" s="28"/>
      <c r="H18" s="27">
        <v>1.4000000000000001</v>
      </c>
      <c r="K18" s="10"/>
      <c r="L18" s="10"/>
      <c r="M18" s="10"/>
      <c r="N18" s="10"/>
      <c r="O18" s="10"/>
      <c r="P18" s="24"/>
      <c r="R18" s="21"/>
      <c r="S18" s="22"/>
      <c r="T18" s="23"/>
      <c r="U18" s="23"/>
      <c r="V18" s="23"/>
      <c r="W18" s="23"/>
    </row>
    <row r="19" spans="1:23" x14ac:dyDescent="0.25">
      <c r="A19" s="6"/>
      <c r="B19" s="28">
        <v>27.6</v>
      </c>
      <c r="C19" s="28"/>
      <c r="D19" s="27">
        <v>1.5</v>
      </c>
      <c r="E19" s="14"/>
      <c r="F19" s="28">
        <v>29.1</v>
      </c>
      <c r="G19" s="28"/>
      <c r="H19" s="27">
        <v>1.5</v>
      </c>
      <c r="K19" s="10"/>
      <c r="L19" s="10"/>
      <c r="M19" s="10"/>
      <c r="N19" s="10"/>
      <c r="O19" s="10"/>
      <c r="P19" s="24"/>
      <c r="R19" s="21"/>
      <c r="S19" s="22"/>
      <c r="T19" s="23"/>
      <c r="U19" s="23"/>
      <c r="V19" s="23"/>
      <c r="W19" s="23"/>
    </row>
    <row r="20" spans="1:23" x14ac:dyDescent="0.25">
      <c r="A20" s="6"/>
      <c r="B20" s="28">
        <v>31.9</v>
      </c>
      <c r="C20" s="28"/>
      <c r="D20" s="27">
        <v>1.6</v>
      </c>
      <c r="E20" s="14"/>
      <c r="F20" s="28">
        <v>32.9</v>
      </c>
      <c r="G20" s="28"/>
      <c r="H20" s="27">
        <v>1.6</v>
      </c>
      <c r="K20" s="10"/>
      <c r="L20" s="10"/>
      <c r="M20" s="10"/>
      <c r="N20" s="10"/>
      <c r="O20" s="10"/>
      <c r="P20" s="24"/>
      <c r="R20" s="21"/>
      <c r="S20" s="22"/>
      <c r="T20" s="23"/>
      <c r="U20" s="23"/>
      <c r="V20" s="23"/>
      <c r="W20" s="23"/>
    </row>
    <row r="21" spans="1:23" x14ac:dyDescent="0.25">
      <c r="A21" s="6"/>
      <c r="B21" s="28">
        <v>36.700000000000003</v>
      </c>
      <c r="C21" s="28"/>
      <c r="D21" s="27">
        <v>1.7000000000000002</v>
      </c>
      <c r="E21" s="14"/>
      <c r="F21" s="28">
        <v>37.299999999999997</v>
      </c>
      <c r="G21" s="28"/>
      <c r="H21" s="27">
        <v>1.7000000000000002</v>
      </c>
      <c r="K21" s="10"/>
      <c r="L21" s="10"/>
      <c r="M21" s="10"/>
      <c r="N21" s="10"/>
      <c r="O21" s="10"/>
      <c r="P21" s="24"/>
      <c r="R21" s="21"/>
      <c r="S21" s="22"/>
      <c r="T21" s="23"/>
      <c r="U21" s="23"/>
      <c r="V21" s="23"/>
      <c r="W21" s="23"/>
    </row>
    <row r="22" spans="1:23" x14ac:dyDescent="0.25">
      <c r="A22" s="6"/>
      <c r="B22" s="28">
        <v>42.3</v>
      </c>
      <c r="C22" s="28"/>
      <c r="D22" s="27">
        <v>1.8</v>
      </c>
      <c r="E22" s="14"/>
      <c r="F22" s="28">
        <v>42.5</v>
      </c>
      <c r="G22" s="28"/>
      <c r="H22" s="27">
        <v>1.8</v>
      </c>
      <c r="P22" s="15"/>
    </row>
    <row r="23" spans="1:23" x14ac:dyDescent="0.25">
      <c r="A23" s="6"/>
      <c r="B23" s="28">
        <v>49.4</v>
      </c>
      <c r="C23" s="28"/>
      <c r="D23" s="27">
        <v>1.9000000000000001</v>
      </c>
      <c r="E23" s="14"/>
      <c r="F23" s="28">
        <v>49.3</v>
      </c>
      <c r="G23" s="28"/>
      <c r="H23" s="27">
        <v>1.9000000000000001</v>
      </c>
      <c r="P23" s="15"/>
    </row>
    <row r="24" spans="1:23" x14ac:dyDescent="0.25">
      <c r="A24" s="6"/>
      <c r="B24" s="28">
        <v>59.4</v>
      </c>
      <c r="C24" s="28"/>
      <c r="D24" s="27">
        <v>2</v>
      </c>
      <c r="E24" s="14"/>
      <c r="F24" s="28">
        <v>59.4</v>
      </c>
      <c r="G24" s="28"/>
      <c r="H24" s="27">
        <v>2</v>
      </c>
      <c r="P24" s="15"/>
    </row>
    <row r="25" spans="1:23" x14ac:dyDescent="0.25">
      <c r="A25" s="16"/>
      <c r="B25" s="30">
        <v>100</v>
      </c>
      <c r="C25" s="28"/>
      <c r="D25" s="27"/>
      <c r="E25" s="16"/>
      <c r="F25" s="30">
        <v>100</v>
      </c>
      <c r="G25" s="28"/>
      <c r="H25" s="27"/>
      <c r="K25" s="17"/>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8F5DD-F4C6-4C95-A50C-B61165479F34}">
  <sheetPr>
    <tabColor rgb="FF3D6864"/>
  </sheetPr>
  <dimension ref="A1:N91"/>
  <sheetViews>
    <sheetView showGridLines="0" tabSelected="1" zoomScale="85" zoomScaleNormal="85" workbookViewId="0">
      <selection activeCell="D8" sqref="D8"/>
    </sheetView>
  </sheetViews>
  <sheetFormatPr defaultColWidth="0" defaultRowHeight="15" x14ac:dyDescent="0.25"/>
  <cols>
    <col min="1" max="1" width="5.7109375" style="100" customWidth="1"/>
    <col min="2" max="2" width="11.85546875" style="100" hidden="1" customWidth="1"/>
    <col min="3" max="3" width="124.28515625" style="100" customWidth="1"/>
    <col min="4" max="4" width="55" style="113" customWidth="1"/>
    <col min="5" max="5" width="2.28515625" style="100" customWidth="1"/>
    <col min="6" max="7" width="8.85546875" style="100" customWidth="1"/>
    <col min="8" max="8" width="80" style="100" hidden="1" customWidth="1"/>
    <col min="9" max="9" width="3" style="100" hidden="1" customWidth="1"/>
    <col min="10" max="10" width="23.7109375" style="100" hidden="1" customWidth="1"/>
    <col min="11" max="11" width="2.42578125" style="100" hidden="1" customWidth="1"/>
    <col min="12" max="12" width="19.28515625" style="100" hidden="1" customWidth="1"/>
    <col min="13" max="13" width="8.85546875" style="145" hidden="1" customWidth="1"/>
    <col min="14" max="14" width="8.85546875" style="100" hidden="1" customWidth="1"/>
    <col min="15" max="15" width="8.85546875" style="100" customWidth="1"/>
    <col min="16" max="16" width="8.85546875" style="100" hidden="1" customWidth="1"/>
    <col min="17" max="16384" width="8.85546875" style="100" hidden="1"/>
  </cols>
  <sheetData>
    <row r="1" spans="2:14" x14ac:dyDescent="0.25">
      <c r="B1" s="143" t="s">
        <v>282</v>
      </c>
      <c r="H1" s="143" t="s">
        <v>282</v>
      </c>
      <c r="I1" s="143" t="s">
        <v>282</v>
      </c>
      <c r="J1" s="143" t="s">
        <v>282</v>
      </c>
      <c r="K1" s="143" t="s">
        <v>282</v>
      </c>
      <c r="L1" s="143" t="s">
        <v>282</v>
      </c>
      <c r="M1" s="144" t="s">
        <v>282</v>
      </c>
      <c r="N1" s="143" t="s">
        <v>282</v>
      </c>
    </row>
    <row r="2" spans="2:14" ht="63.6" customHeight="1" x14ac:dyDescent="0.25">
      <c r="C2" s="52" t="s">
        <v>283</v>
      </c>
      <c r="D2" s="52"/>
      <c r="E2" s="52"/>
      <c r="F2" s="52"/>
      <c r="G2" s="54"/>
      <c r="H2" s="54"/>
      <c r="I2" s="54"/>
    </row>
    <row r="3" spans="2:14" x14ac:dyDescent="0.25">
      <c r="H3" s="146" t="s">
        <v>284</v>
      </c>
      <c r="I3" s="147"/>
      <c r="J3" s="146" t="s">
        <v>285</v>
      </c>
      <c r="K3" s="147"/>
      <c r="L3" s="146" t="s">
        <v>285</v>
      </c>
      <c r="M3" s="148" t="s">
        <v>286</v>
      </c>
    </row>
    <row r="4" spans="2:14" ht="21" x14ac:dyDescent="0.35">
      <c r="B4" s="149">
        <f ca="1">IF(SUM(MAT01_ConceptDesign!B4,MAT01_TechnicalDesign!B4,B58,B80,B85)&gt;0,SUM(MAT01_ConceptDesign!B4,MAT01_TechnicalDesign!B4,B58,B80,B85),"")</f>
        <v>2</v>
      </c>
      <c r="C4" s="99" t="str">
        <f ca="1">IF(B4&lt;&gt;"","ITEMS NEED ATTENTION BEFORE THE TOTAL CREDIT RESULTS CAN BE SHOWN.","")</f>
        <v>ITEMS NEED ATTENTION BEFORE THE TOTAL CREDIT RESULTS CAN BE SHOWN.</v>
      </c>
      <c r="D4" s="192" t="s">
        <v>315</v>
      </c>
      <c r="H4" s="150"/>
      <c r="I4" s="151"/>
      <c r="J4" s="150"/>
      <c r="K4" s="151"/>
      <c r="L4" s="150"/>
      <c r="M4" s="152"/>
    </row>
    <row r="5" spans="2:14" ht="21" x14ac:dyDescent="0.35">
      <c r="B5" s="149"/>
      <c r="C5" s="99"/>
      <c r="D5" s="100"/>
      <c r="H5" s="150"/>
      <c r="I5" s="151"/>
      <c r="J5" s="150"/>
      <c r="K5" s="151"/>
      <c r="L5" s="150"/>
      <c r="M5" s="152"/>
    </row>
    <row r="6" spans="2:14" ht="30.75" thickBot="1" x14ac:dyDescent="0.3">
      <c r="C6" s="102" t="s">
        <v>48</v>
      </c>
      <c r="D6" s="103"/>
      <c r="E6" s="103"/>
      <c r="F6" s="153" t="s">
        <v>287</v>
      </c>
    </row>
    <row r="7" spans="2:14" x14ac:dyDescent="0.25">
      <c r="K7" s="154"/>
    </row>
    <row r="8" spans="2:14" x14ac:dyDescent="0.25">
      <c r="C8" s="155" t="str">
        <f>MAT01_ConceptDesign!B10</f>
        <v>BREEAM assessment building use type:</v>
      </c>
      <c r="D8" s="182"/>
      <c r="H8" s="155" t="s">
        <v>97</v>
      </c>
      <c r="L8" s="156" t="str">
        <f>IF(ISBLANK(D8),"",D8)</f>
        <v/>
      </c>
      <c r="M8" s="145" t="s">
        <v>288</v>
      </c>
    </row>
    <row r="9" spans="2:14" x14ac:dyDescent="0.25">
      <c r="C9" s="155" t="str">
        <f>MAT01_ConceptDesign!B11</f>
        <v>Is the project part new-build, part refurbishment OR defined as a BREEAM 'Simple Building'?</v>
      </c>
      <c r="D9" s="182"/>
      <c r="H9" s="155" t="s">
        <v>256</v>
      </c>
      <c r="L9" s="156" t="str">
        <f>IF(ISBLANK(D9),"",D9)</f>
        <v/>
      </c>
      <c r="M9" s="157" t="s">
        <v>289</v>
      </c>
    </row>
    <row r="10" spans="2:14" x14ac:dyDescent="0.25">
      <c r="H10" s="155" t="s">
        <v>290</v>
      </c>
      <c r="L10" s="158">
        <v>1</v>
      </c>
      <c r="M10" s="145" t="s">
        <v>291</v>
      </c>
    </row>
    <row r="11" spans="2:14" ht="21.75" thickBot="1" x14ac:dyDescent="0.3">
      <c r="C11" s="102" t="s">
        <v>292</v>
      </c>
      <c r="D11" s="103"/>
      <c r="E11" s="103"/>
      <c r="F11" s="104"/>
    </row>
    <row r="12" spans="2:14" ht="24" customHeight="1" x14ac:dyDescent="0.25">
      <c r="C12" s="100" t="s">
        <v>320</v>
      </c>
    </row>
    <row r="13" spans="2:14" ht="34.9" customHeight="1" x14ac:dyDescent="0.25">
      <c r="C13" s="159" t="s">
        <v>319</v>
      </c>
      <c r="D13" s="182"/>
      <c r="H13" s="155" t="s">
        <v>217</v>
      </c>
      <c r="L13" s="160" t="str">
        <f>IF(ISBLANK(D13),"",D13)</f>
        <v/>
      </c>
      <c r="M13" s="145" t="s">
        <v>288</v>
      </c>
    </row>
    <row r="14" spans="2:14" x14ac:dyDescent="0.25">
      <c r="C14" s="155" t="s">
        <v>317</v>
      </c>
      <c r="D14" s="182"/>
      <c r="H14" s="161" t="s">
        <v>95</v>
      </c>
      <c r="L14" s="160">
        <f>IF(ISBLANK(D14),-100%,D14)</f>
        <v>-1</v>
      </c>
      <c r="M14" s="145" t="s">
        <v>293</v>
      </c>
    </row>
    <row r="15" spans="2:14" x14ac:dyDescent="0.25">
      <c r="C15" s="155" t="s">
        <v>294</v>
      </c>
      <c r="D15" s="162" t="str">
        <f>IF(D14&lt;&gt;"",IFERROR(ROUND(IF((D14*100)&lt;CreditsBMMinimum,0,VLOOKUP(InteractiveReadyReckoner!D8,BUTBenchmarks,6,FALSE)*(1-D14)),2)&amp;"  BRE EN ecopoints / m2 NIA",""),"")</f>
        <v/>
      </c>
      <c r="F15" s="163" t="str">
        <f>MAT01_ConceptDesign!J43</f>
        <v>--</v>
      </c>
    </row>
    <row r="16" spans="2:14" x14ac:dyDescent="0.25">
      <c r="C16" s="164" t="str">
        <f>MAT01_ConceptDesign!B16</f>
        <v/>
      </c>
      <c r="D16" s="165"/>
      <c r="F16" s="151"/>
    </row>
    <row r="17" spans="1:14" x14ac:dyDescent="0.25">
      <c r="C17" s="164" t="str">
        <f>MAT01_ConceptDesign!B17</f>
        <v/>
      </c>
      <c r="D17" s="165"/>
      <c r="F17" s="151"/>
    </row>
    <row r="18" spans="1:14" x14ac:dyDescent="0.25">
      <c r="C18" s="355" t="s">
        <v>326</v>
      </c>
      <c r="D18" s="355"/>
      <c r="F18" s="151"/>
    </row>
    <row r="19" spans="1:14" x14ac:dyDescent="0.25">
      <c r="F19" s="151"/>
    </row>
    <row r="20" spans="1:14" ht="21.75" thickBot="1" x14ac:dyDescent="0.3">
      <c r="C20" s="102" t="s">
        <v>295</v>
      </c>
      <c r="D20" s="103"/>
      <c r="E20" s="103"/>
      <c r="F20" s="96"/>
    </row>
    <row r="21" spans="1:14" ht="24" customHeight="1" x14ac:dyDescent="0.25">
      <c r="C21" s="100" t="s">
        <v>321</v>
      </c>
      <c r="F21" s="151"/>
    </row>
    <row r="22" spans="1:14" ht="34.9" customHeight="1" x14ac:dyDescent="0.25">
      <c r="C22" s="159" t="s">
        <v>319</v>
      </c>
      <c r="D22" s="182"/>
      <c r="H22" s="155" t="s">
        <v>98</v>
      </c>
      <c r="L22" s="166" t="str">
        <f>IF(ISBLANK(D22),"",D22)</f>
        <v/>
      </c>
      <c r="M22" s="145" t="s">
        <v>327</v>
      </c>
    </row>
    <row r="23" spans="1:14" x14ac:dyDescent="0.25">
      <c r="C23" s="155" t="s">
        <v>296</v>
      </c>
      <c r="D23" s="183"/>
      <c r="F23" s="163" t="str">
        <f ca="1">MAT01_ConceptDesign!J63</f>
        <v>--</v>
      </c>
      <c r="H23" s="155" t="s">
        <v>88</v>
      </c>
      <c r="L23" s="156" t="str">
        <f>IF(AND(D23&lt;&gt;"No",ISTEXT(D23)),"Yes","No")</f>
        <v>No</v>
      </c>
      <c r="M23" s="157"/>
    </row>
    <row r="24" spans="1:14" hidden="1" x14ac:dyDescent="0.25">
      <c r="A24" s="143" t="s">
        <v>282</v>
      </c>
      <c r="C24" s="151"/>
      <c r="D24" s="184"/>
      <c r="F24" s="151"/>
      <c r="H24" s="155" t="s">
        <v>89</v>
      </c>
      <c r="L24" s="156" t="str">
        <f>IF(AND(D31&lt;&gt;"No",D31&lt;&gt;""),"Yes","No")</f>
        <v>No</v>
      </c>
      <c r="M24" s="157"/>
    </row>
    <row r="25" spans="1:14" hidden="1" x14ac:dyDescent="0.25">
      <c r="A25" s="143" t="s">
        <v>282</v>
      </c>
      <c r="C25" s="151"/>
      <c r="D25" s="184"/>
      <c r="F25" s="151"/>
      <c r="H25" s="155" t="s">
        <v>90</v>
      </c>
      <c r="L25" s="156" t="str">
        <f>IF(AND(D38&lt;&gt;"No",D38&lt;&gt;""),"Yes","No")</f>
        <v>No</v>
      </c>
      <c r="M25" s="157"/>
    </row>
    <row r="26" spans="1:14" hidden="1" x14ac:dyDescent="0.25">
      <c r="A26" s="143" t="s">
        <v>282</v>
      </c>
      <c r="D26" s="185"/>
      <c r="F26" s="150"/>
      <c r="H26" s="167">
        <v>1</v>
      </c>
      <c r="J26" s="158" t="s">
        <v>243</v>
      </c>
      <c r="L26" s="156" t="str">
        <f>IF(AND($D$23&lt;&gt;"No",D23&lt;&gt;""),M26,N26)</f>
        <v>No</v>
      </c>
      <c r="M26" s="145" t="s">
        <v>13</v>
      </c>
      <c r="N26" s="100" t="s">
        <v>44</v>
      </c>
    </row>
    <row r="27" spans="1:14" hidden="1" x14ac:dyDescent="0.25">
      <c r="A27" s="143" t="s">
        <v>282</v>
      </c>
      <c r="D27" s="185"/>
      <c r="F27" s="150"/>
      <c r="H27" s="168">
        <v>2</v>
      </c>
      <c r="J27" s="158" t="s">
        <v>85</v>
      </c>
      <c r="L27" s="156" t="str">
        <f>IF(AND($D$23&lt;&gt;"No",D23&lt;&gt;""),M27,N27)</f>
        <v>No</v>
      </c>
      <c r="M27" s="145" t="s">
        <v>13</v>
      </c>
      <c r="N27" s="100" t="s">
        <v>44</v>
      </c>
    </row>
    <row r="28" spans="1:14" hidden="1" x14ac:dyDescent="0.25">
      <c r="A28" s="143" t="s">
        <v>282</v>
      </c>
      <c r="D28" s="185"/>
      <c r="F28" s="150"/>
      <c r="H28" s="168">
        <v>3</v>
      </c>
      <c r="J28" s="158" t="s">
        <v>85</v>
      </c>
      <c r="L28" s="156" t="str">
        <f>IF(AND(D23&lt;&gt;"No",D23&lt;&gt;""),IF(VALUE(MID($D$23,7,1))&gt;=3,M28,N28),"No")</f>
        <v>No</v>
      </c>
      <c r="M28" s="145" t="s">
        <v>13</v>
      </c>
      <c r="N28" s="100" t="s">
        <v>44</v>
      </c>
    </row>
    <row r="29" spans="1:14" hidden="1" x14ac:dyDescent="0.25">
      <c r="A29" s="143" t="s">
        <v>282</v>
      </c>
      <c r="D29" s="185"/>
      <c r="F29" s="150"/>
      <c r="H29" s="168">
        <v>4</v>
      </c>
      <c r="J29" s="158" t="s">
        <v>85</v>
      </c>
      <c r="L29" s="156" t="str">
        <f>IF(AND(D23&lt;&gt;"No",D23&lt;&gt;""),IF(VALUE(MID($D$23,7,1))&gt;=4,M28,N28),"No")</f>
        <v>No</v>
      </c>
      <c r="M29" s="145" t="s">
        <v>13</v>
      </c>
      <c r="N29" s="100" t="s">
        <v>44</v>
      </c>
    </row>
    <row r="30" spans="1:14" hidden="1" x14ac:dyDescent="0.25">
      <c r="A30" s="143" t="s">
        <v>282</v>
      </c>
      <c r="D30" s="185"/>
      <c r="F30" s="150"/>
      <c r="H30" s="155" t="str">
        <f>IF(SelectedToolBM&lt;&gt;"","Is option ID '"&amp;P22&amp;"' the same as ID 'B1' submitted for 'Superstructure - Comparison with the BREEAM benchmark' above?'","Question n/a - leave blank.")</f>
        <v>Question n/a - leave blank.</v>
      </c>
      <c r="L30" s="158" t="s">
        <v>13</v>
      </c>
      <c r="M30" s="145" t="s">
        <v>297</v>
      </c>
    </row>
    <row r="31" spans="1:14" x14ac:dyDescent="0.25">
      <c r="C31" s="155" t="s">
        <v>298</v>
      </c>
      <c r="D31" s="182"/>
      <c r="F31" s="194" t="str">
        <f ca="1">MAT01_ConceptDesign!J85</f>
        <v>--</v>
      </c>
      <c r="G31" s="189"/>
    </row>
    <row r="32" spans="1:14" hidden="1" x14ac:dyDescent="0.25">
      <c r="A32" s="143" t="s">
        <v>282</v>
      </c>
      <c r="D32" s="185"/>
      <c r="F32" s="150"/>
      <c r="H32" s="168">
        <v>5</v>
      </c>
      <c r="J32" s="158" t="s">
        <v>243</v>
      </c>
      <c r="L32" s="158" t="s">
        <v>299</v>
      </c>
    </row>
    <row r="33" spans="1:13" hidden="1" x14ac:dyDescent="0.25">
      <c r="A33" s="143" t="s">
        <v>282</v>
      </c>
      <c r="D33" s="185"/>
      <c r="F33" s="150"/>
      <c r="H33" s="169">
        <v>6</v>
      </c>
      <c r="J33" s="158" t="s">
        <v>243</v>
      </c>
      <c r="L33" s="158" t="s">
        <v>300</v>
      </c>
    </row>
    <row r="34" spans="1:13" hidden="1" x14ac:dyDescent="0.25">
      <c r="A34" s="143" t="s">
        <v>282</v>
      </c>
      <c r="D34" s="185"/>
      <c r="F34" s="150"/>
      <c r="H34" s="167">
        <v>7</v>
      </c>
      <c r="J34" s="158" t="s">
        <v>29</v>
      </c>
      <c r="L34" s="158" t="s">
        <v>299</v>
      </c>
    </row>
    <row r="35" spans="1:13" hidden="1" x14ac:dyDescent="0.25">
      <c r="A35" s="143" t="s">
        <v>282</v>
      </c>
      <c r="D35" s="185"/>
      <c r="F35" s="150"/>
      <c r="H35" s="168">
        <v>8</v>
      </c>
      <c r="J35" s="158" t="s">
        <v>29</v>
      </c>
      <c r="L35" s="158" t="s">
        <v>299</v>
      </c>
    </row>
    <row r="36" spans="1:13" hidden="1" x14ac:dyDescent="0.25">
      <c r="A36" s="143" t="s">
        <v>282</v>
      </c>
      <c r="D36" s="185"/>
      <c r="F36" s="150"/>
      <c r="H36" s="169">
        <v>9</v>
      </c>
      <c r="J36" s="158" t="s">
        <v>29</v>
      </c>
      <c r="L36" s="158" t="s">
        <v>300</v>
      </c>
    </row>
    <row r="37" spans="1:13" hidden="1" x14ac:dyDescent="0.25">
      <c r="A37" s="143" t="s">
        <v>282</v>
      </c>
      <c r="D37" s="185"/>
      <c r="F37" s="150"/>
      <c r="H37" s="168">
        <v>10</v>
      </c>
      <c r="J37" s="158" t="s">
        <v>29</v>
      </c>
      <c r="L37" s="158" t="s">
        <v>300</v>
      </c>
    </row>
    <row r="38" spans="1:13" ht="24" x14ac:dyDescent="0.25">
      <c r="C38" s="155" t="s">
        <v>301</v>
      </c>
      <c r="D38" s="182"/>
      <c r="F38" s="194" t="str">
        <f ca="1">MAT01_ConceptDesign!J103</f>
        <v>--</v>
      </c>
      <c r="G38" s="187" t="s">
        <v>302</v>
      </c>
    </row>
    <row r="39" spans="1:13" hidden="1" x14ac:dyDescent="0.25">
      <c r="A39" s="143" t="s">
        <v>282</v>
      </c>
      <c r="F39" s="151"/>
      <c r="H39" s="168">
        <v>11</v>
      </c>
      <c r="J39" s="158" t="s">
        <v>243</v>
      </c>
      <c r="L39" s="158" t="s">
        <v>13</v>
      </c>
    </row>
    <row r="40" spans="1:13" hidden="1" x14ac:dyDescent="0.25">
      <c r="A40" s="143" t="s">
        <v>282</v>
      </c>
      <c r="F40" s="151"/>
      <c r="H40" s="168">
        <v>12</v>
      </c>
      <c r="J40" s="158" t="s">
        <v>29</v>
      </c>
      <c r="L40" s="158" t="s">
        <v>13</v>
      </c>
    </row>
    <row r="41" spans="1:13" hidden="1" x14ac:dyDescent="0.25">
      <c r="A41" s="143" t="s">
        <v>282</v>
      </c>
      <c r="F41" s="151"/>
      <c r="H41" s="168">
        <v>13</v>
      </c>
      <c r="J41" s="158" t="s">
        <v>29</v>
      </c>
      <c r="L41" s="158" t="s">
        <v>13</v>
      </c>
    </row>
    <row r="42" spans="1:13" x14ac:dyDescent="0.25">
      <c r="C42" s="164" t="str">
        <f>MAT01_ConceptDesign!B28</f>
        <v/>
      </c>
      <c r="D42" s="165"/>
      <c r="F42" s="151"/>
      <c r="G42" s="188"/>
    </row>
    <row r="43" spans="1:13" x14ac:dyDescent="0.25">
      <c r="C43" s="164" t="str">
        <f>MAT01_ConceptDesign!B29</f>
        <v/>
      </c>
      <c r="D43" s="165"/>
      <c r="F43" s="151"/>
    </row>
    <row r="44" spans="1:13" x14ac:dyDescent="0.25">
      <c r="C44" s="164" t="str">
        <f>MAT01_ConceptDesign!B30</f>
        <v/>
      </c>
      <c r="D44" s="165"/>
      <c r="F44" s="151"/>
    </row>
    <row r="45" spans="1:13" x14ac:dyDescent="0.25">
      <c r="C45" s="164" t="str">
        <f>MAT01_ConceptDesign!B68</f>
        <v/>
      </c>
      <c r="D45" s="165"/>
      <c r="F45" s="151"/>
    </row>
    <row r="46" spans="1:13" x14ac:dyDescent="0.25">
      <c r="C46" s="164" t="str">
        <f>MAT01_ConceptDesign!B90</f>
        <v/>
      </c>
      <c r="D46" s="165"/>
      <c r="F46" s="151"/>
      <c r="H46" s="170" t="str">
        <f>IF(ISNUMBER(D55),D55,"")</f>
        <v/>
      </c>
    </row>
    <row r="47" spans="1:13" hidden="1" x14ac:dyDescent="0.25">
      <c r="A47" s="143" t="s">
        <v>282</v>
      </c>
      <c r="C47" s="113"/>
      <c r="F47" s="151"/>
      <c r="H47" s="155" t="s">
        <v>248</v>
      </c>
      <c r="L47" s="158" t="s">
        <v>13</v>
      </c>
      <c r="M47" s="145" t="s">
        <v>297</v>
      </c>
    </row>
    <row r="48" spans="1:13" hidden="1" x14ac:dyDescent="0.25">
      <c r="A48" s="143" t="s">
        <v>282</v>
      </c>
      <c r="C48" s="113"/>
      <c r="F48" s="151"/>
      <c r="H48" s="155" t="s">
        <v>253</v>
      </c>
      <c r="L48" s="158" t="s">
        <v>13</v>
      </c>
      <c r="M48" s="145" t="s">
        <v>297</v>
      </c>
    </row>
    <row r="49" spans="1:13" hidden="1" x14ac:dyDescent="0.25">
      <c r="A49" s="143" t="s">
        <v>282</v>
      </c>
      <c r="C49" s="113"/>
      <c r="F49" s="151"/>
      <c r="H49" s="155" t="s">
        <v>258</v>
      </c>
      <c r="L49" s="158" t="s">
        <v>13</v>
      </c>
      <c r="M49" s="145" t="s">
        <v>297</v>
      </c>
    </row>
    <row r="50" spans="1:13" hidden="1" x14ac:dyDescent="0.25">
      <c r="A50" s="143" t="s">
        <v>282</v>
      </c>
      <c r="F50" s="151"/>
      <c r="H50" s="155" t="s">
        <v>167</v>
      </c>
      <c r="L50" s="171">
        <f ca="1">NOW()</f>
        <v>43877.923309375001</v>
      </c>
      <c r="M50" s="145" t="s">
        <v>303</v>
      </c>
    </row>
    <row r="51" spans="1:13" x14ac:dyDescent="0.25">
      <c r="F51" s="151"/>
    </row>
    <row r="52" spans="1:13" ht="21.75" thickBot="1" x14ac:dyDescent="0.3">
      <c r="C52" s="102" t="s">
        <v>304</v>
      </c>
      <c r="D52" s="103"/>
      <c r="E52" s="103"/>
      <c r="F52" s="96"/>
    </row>
    <row r="53" spans="1:13" ht="24" customHeight="1" x14ac:dyDescent="0.25">
      <c r="C53" s="100" t="s">
        <v>322</v>
      </c>
      <c r="F53" s="151"/>
    </row>
    <row r="54" spans="1:13" ht="34.9" customHeight="1" x14ac:dyDescent="0.25">
      <c r="C54" s="159" t="s">
        <v>319</v>
      </c>
      <c r="D54" s="142"/>
      <c r="F54" s="151"/>
      <c r="H54" s="155" t="s">
        <v>273</v>
      </c>
      <c r="L54" s="156" t="str">
        <f>IF(ISBLANK(D54),"",D54)</f>
        <v/>
      </c>
      <c r="M54" s="145" t="s">
        <v>288</v>
      </c>
    </row>
    <row r="55" spans="1:13" x14ac:dyDescent="0.25">
      <c r="C55" s="155" t="s">
        <v>318</v>
      </c>
      <c r="D55" s="182"/>
      <c r="F55" s="163" t="str">
        <f>MAT01_TechnicalDesign!J40</f>
        <v>--</v>
      </c>
      <c r="H55" s="161" t="s">
        <v>95</v>
      </c>
      <c r="L55" s="160">
        <f>IF(ISBLANK(D55),-100%,D55)</f>
        <v>-1</v>
      </c>
    </row>
    <row r="56" spans="1:13" x14ac:dyDescent="0.25">
      <c r="C56" s="164" t="str">
        <f>MAT01_TechnicalDesign!B16</f>
        <v/>
      </c>
      <c r="D56" s="165"/>
      <c r="F56" s="151"/>
    </row>
    <row r="57" spans="1:13" x14ac:dyDescent="0.25">
      <c r="C57" s="164" t="str">
        <f>MAT01_TechnicalDesign!B17</f>
        <v/>
      </c>
      <c r="D57" s="165"/>
      <c r="F57" s="151"/>
    </row>
    <row r="58" spans="1:13" x14ac:dyDescent="0.25">
      <c r="B58" s="100" t="str">
        <f>IF(C58="","",1)</f>
        <v/>
      </c>
      <c r="C58" s="323" t="str">
        <f>IF(AND(D13&lt;&gt;"",D54=""),"Superstructure comparison with the BREEAM benchmark during Technical Design must be done if done at Concept Design.","")</f>
        <v/>
      </c>
      <c r="D58" s="324"/>
      <c r="F58" s="151"/>
      <c r="H58" s="100" t="s">
        <v>324</v>
      </c>
    </row>
    <row r="59" spans="1:13" x14ac:dyDescent="0.25">
      <c r="C59" s="193" t="s">
        <v>316</v>
      </c>
      <c r="F59" s="151"/>
    </row>
    <row r="60" spans="1:13" x14ac:dyDescent="0.25">
      <c r="F60" s="151"/>
    </row>
    <row r="61" spans="1:13" ht="21.75" thickBot="1" x14ac:dyDescent="0.3">
      <c r="C61" s="102" t="s">
        <v>305</v>
      </c>
      <c r="D61" s="103"/>
      <c r="E61" s="103"/>
      <c r="F61" s="96"/>
    </row>
    <row r="62" spans="1:13" ht="24" customHeight="1" x14ac:dyDescent="0.25">
      <c r="C62" s="100" t="s">
        <v>323</v>
      </c>
      <c r="F62" s="151"/>
      <c r="H62" s="155" t="s">
        <v>306</v>
      </c>
      <c r="L62" s="158">
        <v>1</v>
      </c>
      <c r="M62" s="145" t="s">
        <v>291</v>
      </c>
    </row>
    <row r="63" spans="1:13" ht="34.9" customHeight="1" x14ac:dyDescent="0.25">
      <c r="C63" s="159" t="s">
        <v>319</v>
      </c>
      <c r="D63" s="142"/>
      <c r="E63" s="145"/>
      <c r="G63" s="145"/>
      <c r="H63" s="155" t="s">
        <v>100</v>
      </c>
      <c r="I63" s="145"/>
      <c r="J63" s="145"/>
      <c r="L63" s="156" t="str">
        <f>IF(ISBLANK(D63),"",D63)</f>
        <v/>
      </c>
      <c r="M63" s="145" t="s">
        <v>327</v>
      </c>
    </row>
    <row r="64" spans="1:13" x14ac:dyDescent="0.25">
      <c r="C64" s="155" t="s">
        <v>307</v>
      </c>
      <c r="D64" s="186"/>
      <c r="F64" s="163" t="str">
        <f ca="1">MAT01_TechnicalDesign!J60</f>
        <v>--</v>
      </c>
      <c r="H64" s="155" t="s">
        <v>99</v>
      </c>
      <c r="L64" s="160" t="str">
        <f>IF(AND(D64&lt;&gt;"No",ISTEXT(D64)),"Yes","No")</f>
        <v>No</v>
      </c>
    </row>
    <row r="65" spans="1:14" x14ac:dyDescent="0.25">
      <c r="C65" s="172" t="str">
        <f>MAT01_TechnicalDesign!B24</f>
        <v/>
      </c>
      <c r="D65" s="165"/>
    </row>
    <row r="66" spans="1:14" x14ac:dyDescent="0.25">
      <c r="C66" s="173" t="str">
        <f>MAT01_TechnicalDesign!B25</f>
        <v/>
      </c>
      <c r="D66" s="165"/>
      <c r="H66" s="169">
        <v>14</v>
      </c>
      <c r="J66" s="156" t="s">
        <v>243</v>
      </c>
      <c r="K66" s="145"/>
      <c r="L66" s="156" t="str">
        <f>IF(AND($D$64&lt;&gt;"No",ISTEXT(D64)),M66,N66)</f>
        <v>No</v>
      </c>
      <c r="M66" s="145" t="s">
        <v>13</v>
      </c>
      <c r="N66" s="100" t="s">
        <v>44</v>
      </c>
    </row>
    <row r="67" spans="1:14" ht="23.25" customHeight="1" x14ac:dyDescent="0.25">
      <c r="C67" s="164" t="str">
        <f>MAT01_TechnicalDesign!B26</f>
        <v/>
      </c>
      <c r="D67" s="165"/>
      <c r="H67" s="168">
        <v>15</v>
      </c>
      <c r="J67" s="156" t="s">
        <v>29</v>
      </c>
      <c r="L67" s="156" t="str">
        <f>IF(AND(D64&lt;&gt;"No",ISTEXT(D64)),IF(VALUE(MID($D$64,7,1))&gt;=2,M67,N67),N67)</f>
        <v>No</v>
      </c>
      <c r="M67" s="145" t="s">
        <v>13</v>
      </c>
      <c r="N67" s="100" t="s">
        <v>44</v>
      </c>
    </row>
    <row r="68" spans="1:14" x14ac:dyDescent="0.25">
      <c r="H68" s="168">
        <v>16</v>
      </c>
      <c r="J68" s="156" t="s">
        <v>29</v>
      </c>
      <c r="L68" s="156" t="str">
        <f>IF(AND(D64&lt;&gt;"No",ISTEXT(D64)),IF(VALUE(MID($D$64,7,1))&gt;=3,M68,N68),N68)</f>
        <v>No</v>
      </c>
      <c r="M68" s="145" t="s">
        <v>13</v>
      </c>
      <c r="N68" s="100" t="s">
        <v>44</v>
      </c>
    </row>
    <row r="69" spans="1:14" ht="26.25" hidden="1" x14ac:dyDescent="0.4">
      <c r="A69" s="143" t="s">
        <v>282</v>
      </c>
      <c r="C69" s="174" t="s">
        <v>308</v>
      </c>
      <c r="D69" s="175"/>
      <c r="E69" s="176"/>
      <c r="F69" s="177" t="str">
        <f ca="1">MAT01_TechnicalDesign!J64</f>
        <v>Errors to be corrected.</v>
      </c>
      <c r="H69" s="155" t="str">
        <f>IF(SelectedToolBMRIBAStage4&lt;&gt;"","Is option ID '"&amp;P69&amp;"' the same as ID 'B2' submitted for 'Superstructure - Comparison with the BREEAM benchmark' above?'","Question n/a - leave blank.")</f>
        <v>Question n/a - leave blank.</v>
      </c>
      <c r="L69" s="158" t="s">
        <v>13</v>
      </c>
      <c r="M69" s="145" t="s">
        <v>297</v>
      </c>
    </row>
    <row r="70" spans="1:14" hidden="1" x14ac:dyDescent="0.25">
      <c r="A70" s="143" t="s">
        <v>282</v>
      </c>
      <c r="D70" s="356" t="s">
        <v>309</v>
      </c>
      <c r="E70" s="356"/>
      <c r="F70" s="356"/>
      <c r="M70" s="178"/>
    </row>
    <row r="71" spans="1:14" hidden="1" x14ac:dyDescent="0.25">
      <c r="A71" s="143" t="s">
        <v>282</v>
      </c>
      <c r="D71" s="356"/>
      <c r="E71" s="356"/>
      <c r="F71" s="356"/>
    </row>
    <row r="72" spans="1:14" hidden="1" x14ac:dyDescent="0.25">
      <c r="A72" s="143" t="s">
        <v>282</v>
      </c>
      <c r="D72" s="356"/>
      <c r="E72" s="356"/>
      <c r="F72" s="356"/>
      <c r="H72" s="155" t="s">
        <v>248</v>
      </c>
      <c r="L72" s="158" t="s">
        <v>13</v>
      </c>
      <c r="M72" s="145" t="s">
        <v>297</v>
      </c>
    </row>
    <row r="73" spans="1:14" hidden="1" x14ac:dyDescent="0.25">
      <c r="A73" s="143" t="s">
        <v>282</v>
      </c>
      <c r="D73" s="356"/>
      <c r="E73" s="356"/>
      <c r="F73" s="356"/>
      <c r="H73" s="155" t="s">
        <v>254</v>
      </c>
      <c r="L73" s="158" t="s">
        <v>13</v>
      </c>
      <c r="M73" s="145" t="s">
        <v>297</v>
      </c>
    </row>
    <row r="74" spans="1:14" hidden="1" x14ac:dyDescent="0.25">
      <c r="A74" s="143" t="s">
        <v>282</v>
      </c>
      <c r="H74" s="155" t="s">
        <v>258</v>
      </c>
      <c r="L74" s="158" t="s">
        <v>13</v>
      </c>
      <c r="M74" s="145" t="s">
        <v>297</v>
      </c>
    </row>
    <row r="75" spans="1:14" hidden="1" x14ac:dyDescent="0.25">
      <c r="A75" s="143" t="s">
        <v>282</v>
      </c>
      <c r="H75" s="155" t="s">
        <v>262</v>
      </c>
      <c r="L75" s="171">
        <f ca="1">NOW()</f>
        <v>43877.923309375001</v>
      </c>
      <c r="M75" s="145" t="s">
        <v>303</v>
      </c>
    </row>
    <row r="76" spans="1:14" hidden="1" x14ac:dyDescent="0.25">
      <c r="A76" s="143" t="s">
        <v>282</v>
      </c>
    </row>
    <row r="77" spans="1:14" ht="21.75" thickBot="1" x14ac:dyDescent="0.3">
      <c r="C77" s="102" t="s">
        <v>310</v>
      </c>
      <c r="D77" s="103"/>
    </row>
    <row r="78" spans="1:14" x14ac:dyDescent="0.25">
      <c r="G78" s="151"/>
    </row>
    <row r="79" spans="1:14" ht="24.75" x14ac:dyDescent="0.25">
      <c r="C79" s="325" t="s">
        <v>311</v>
      </c>
      <c r="D79" s="326"/>
      <c r="F79" s="179" t="str">
        <f>IF(AND(D79="Yes",C80=""),1,"--")</f>
        <v>--</v>
      </c>
      <c r="G79" s="190" t="s">
        <v>302</v>
      </c>
    </row>
    <row r="80" spans="1:14" ht="34.9" customHeight="1" x14ac:dyDescent="0.25">
      <c r="B80" s="145" t="str">
        <f>IF(C80="","",1)</f>
        <v/>
      </c>
      <c r="C80" s="357" t="str">
        <f>IF(D79="Yes",IF(OR(F23="--",F64="--"),"This exemplary credit cannot be awarded unless superstructure options appraisal is done at both concept design and technical design stages"&amp;" and, only where applicable, comparion with the BREEAM benchmark is done.",""),"")</f>
        <v/>
      </c>
      <c r="D80" s="358"/>
      <c r="G80" s="151"/>
      <c r="H80" s="100" t="s">
        <v>325</v>
      </c>
    </row>
    <row r="81" spans="2:13" x14ac:dyDescent="0.25">
      <c r="B81" s="145"/>
      <c r="D81" s="100"/>
    </row>
    <row r="82" spans="2:13" ht="21.75" thickBot="1" x14ac:dyDescent="0.3">
      <c r="B82" s="145"/>
      <c r="C82" s="102" t="s">
        <v>312</v>
      </c>
      <c r="D82" s="103"/>
      <c r="M82" s="100"/>
    </row>
    <row r="83" spans="2:13" x14ac:dyDescent="0.25">
      <c r="B83" s="145"/>
      <c r="C83" s="180"/>
      <c r="D83" s="181"/>
      <c r="G83" s="151"/>
      <c r="M83" s="100"/>
    </row>
    <row r="84" spans="2:13" ht="24.75" x14ac:dyDescent="0.25">
      <c r="B84" s="145"/>
      <c r="C84" s="325" t="s">
        <v>313</v>
      </c>
      <c r="D84" s="326"/>
      <c r="F84" s="179" t="str">
        <f>IF(AND(D84="Yes",C85=""),1,"--")</f>
        <v>--</v>
      </c>
      <c r="G84" s="191" t="s">
        <v>302</v>
      </c>
      <c r="M84" s="100"/>
    </row>
    <row r="85" spans="2:13" ht="34.9" customHeight="1" x14ac:dyDescent="0.25">
      <c r="B85" s="145" t="str">
        <f>IF(C85="","",1)</f>
        <v/>
      </c>
      <c r="C85" s="357" t="str">
        <f>IF(D84="Yes",IF(OR(F23="--",F64="--",F31="--"),"This exemplary credit cannot be awarded unless superstructure options appraisal is done at both concept design and technical design stages AND substructure &amp; hard landscaping options appraisal is done at concept design stage"&amp;" and, where applicable, comparion with the BREEAM benchmark is done.",""),"")</f>
        <v/>
      </c>
      <c r="D85" s="358"/>
      <c r="G85" s="188"/>
      <c r="H85" s="100" t="s">
        <v>325</v>
      </c>
      <c r="M85" s="100"/>
    </row>
    <row r="86" spans="2:13" ht="57.6" customHeight="1" x14ac:dyDescent="0.25"/>
    <row r="87" spans="2:13" ht="26.25" x14ac:dyDescent="0.4">
      <c r="C87" s="174" t="s">
        <v>314</v>
      </c>
      <c r="D87" s="175"/>
      <c r="E87" s="176"/>
      <c r="F87" s="177" t="str">
        <f ca="1">IF(B4="",LEFT(F69,1)&amp;" credits + "&amp;SUM(IF(F38=1,1,0),IF(F79=1,1,0),IF(F84=1,1,0))&amp;" exemplar credits","--")</f>
        <v>--</v>
      </c>
      <c r="M87" s="100"/>
    </row>
    <row r="88" spans="2:13" x14ac:dyDescent="0.25">
      <c r="D88" s="356" t="s">
        <v>309</v>
      </c>
      <c r="E88" s="356"/>
      <c r="F88" s="356"/>
      <c r="M88" s="100"/>
    </row>
    <row r="89" spans="2:13" x14ac:dyDescent="0.25">
      <c r="D89" s="356"/>
      <c r="E89" s="356"/>
      <c r="F89" s="356"/>
      <c r="M89" s="100"/>
    </row>
    <row r="90" spans="2:13" x14ac:dyDescent="0.25">
      <c r="D90" s="356"/>
      <c r="E90" s="356"/>
      <c r="F90" s="356"/>
      <c r="M90" s="100"/>
    </row>
    <row r="91" spans="2:13" x14ac:dyDescent="0.25">
      <c r="D91" s="356"/>
      <c r="E91" s="356"/>
      <c r="F91" s="356"/>
      <c r="M91" s="100"/>
    </row>
  </sheetData>
  <sheetProtection algorithmName="SHA-512" hashValue="TLnjRmjJHId5S4OHZXJW5ve/7dPCwcrS5rE9KvdJovH4p3+uPZ8b3aKjZb4w+GsfFogyuIvLl5Ec8O6OLZf1yw==" saltValue="KYYC+qtGPy6wHOw3k4z0PA==" spinCount="100000" sheet="1" objects="1" scenarios="1" selectLockedCells="1"/>
  <mergeCells count="5">
    <mergeCell ref="C18:D18"/>
    <mergeCell ref="D70:F73"/>
    <mergeCell ref="C80:D80"/>
    <mergeCell ref="C85:D85"/>
    <mergeCell ref="D88:F91"/>
  </mergeCells>
  <dataValidations count="12">
    <dataValidation type="list" allowBlank="1" showInputMessage="1" showErrorMessage="1" sqref="D83:D84 D79" xr:uid="{62E5BD33-AE8C-4D13-9E4E-680B06AB6A70}">
      <formula1>"Yes,No"</formula1>
    </dataValidation>
    <dataValidation allowBlank="1" showInputMessage="1" showErrorMessage="1" error="Must be a number." sqref="D55" xr:uid="{CE0E9A88-08E8-44B7-81CE-8661278B4DD8}"/>
    <dataValidation type="custom" allowBlank="1" showInputMessage="1" showErrorMessage="1" error="Must be a number." sqref="D14" xr:uid="{C35ACD48-F943-4FCE-807A-129EDCEDCE0C}">
      <formula1>ISNUMBER(D14)</formula1>
    </dataValidation>
    <dataValidation type="list" allowBlank="1" showInputMessage="1" showErrorMessage="1" sqref="D38" xr:uid="{AD5A5E97-9A34-48AB-A69E-1A89B089AEB4}">
      <formula1>"No,Yes - 3 options"</formula1>
    </dataValidation>
    <dataValidation type="list" allowBlank="1" showInputMessage="1" showErrorMessage="1" sqref="D31" xr:uid="{421E0B82-C6F0-4222-8707-898EE2087686}">
      <formula1>"No,Yes - 6 options"</formula1>
    </dataValidation>
    <dataValidation type="list" allowBlank="1" showInputMessage="1" showErrorMessage="1" sqref="D64" xr:uid="{738054EC-A8B7-4779-9DA4-8FB8BA6FB552}">
      <formula1>"No,Yes - 2 options,Yes - 3 options"</formula1>
    </dataValidation>
    <dataValidation type="list" allowBlank="1" showInputMessage="1" showErrorMessage="1" sqref="D23" xr:uid="{9ADACCDF-CDED-4D8B-A36C-1EBD1FEAFEB7}">
      <formula1>"No,Yes - 2 options,Yes - 3 options,Yes - 4 options"</formula1>
    </dataValidation>
    <dataValidation type="list" showInputMessage="1" showErrorMessage="1" sqref="D8" xr:uid="{AB2EF1F3-B206-49CE-A3C8-C3B13F4B17C3}">
      <formula1>BUT</formula1>
    </dataValidation>
    <dataValidation type="list" showInputMessage="1" showErrorMessage="1" sqref="D9" xr:uid="{E06E0865-2CAE-494E-BE7A-2FACACCF1E59}">
      <formula1>"No,Part new-build part refurbishment,Simple building"</formula1>
    </dataValidation>
    <dataValidation type="list" showInputMessage="1" showErrorMessage="1" sqref="D54 D13 D16:D17" xr:uid="{A2DC96E9-9AC2-489B-AC60-E41DA08C1A1B}">
      <formula1>RecognisedToolsBM</formula1>
    </dataValidation>
    <dataValidation type="list" showInputMessage="1" showErrorMessage="1" sqref="D22" xr:uid="{F47EB81E-DB6F-459C-9FBD-66C74B945869}">
      <formula1>RecognisedTools</formula1>
    </dataValidation>
    <dataValidation type="list" showInputMessage="1" showErrorMessage="1" sqref="D63" xr:uid="{475C6CD8-9CFC-4BFE-BC3F-D42C02868EB7}">
      <formula1>RecognisedToolsRIBA4</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3D6864"/>
  </sheetPr>
  <dimension ref="A1:T136"/>
  <sheetViews>
    <sheetView showGridLines="0" zoomScale="70" zoomScaleNormal="70" workbookViewId="0">
      <selection activeCell="J10" sqref="J10:N10"/>
    </sheetView>
  </sheetViews>
  <sheetFormatPr defaultColWidth="0" defaultRowHeight="21" zeroHeight="1" x14ac:dyDescent="0.25"/>
  <cols>
    <col min="1" max="1" width="5.7109375" style="195" customWidth="1"/>
    <col min="2" max="2" width="5.42578125" style="196" customWidth="1"/>
    <col min="3" max="3" width="28.42578125" style="196" customWidth="1"/>
    <col min="4" max="4" width="8.85546875" style="196" customWidth="1"/>
    <col min="5" max="5" width="11.140625" style="196" customWidth="1"/>
    <col min="6" max="7" width="15.28515625" style="196" customWidth="1"/>
    <col min="8" max="8" width="20.7109375" style="196" customWidth="1"/>
    <col min="9" max="9" width="18.5703125" style="196" customWidth="1"/>
    <col min="10" max="13" width="15.28515625" style="196" customWidth="1"/>
    <col min="14" max="14" width="22.7109375" style="196" customWidth="1"/>
    <col min="15" max="15" width="31.7109375" style="196" customWidth="1"/>
    <col min="16" max="16" width="22.42578125" style="196" customWidth="1"/>
    <col min="17" max="17" width="3.7109375" style="197" customWidth="1"/>
    <col min="18" max="18" width="9.140625" style="196" hidden="1" customWidth="1"/>
    <col min="19" max="19" width="42.7109375" style="196" hidden="1" customWidth="1"/>
    <col min="20" max="20" width="16.28515625" style="196" hidden="1" customWidth="1"/>
    <col min="21" max="16384" width="9.140625" style="196" hidden="1"/>
  </cols>
  <sheetData>
    <row r="1" spans="1:17" x14ac:dyDescent="0.25"/>
    <row r="2" spans="1:17" ht="56.45" customHeight="1" x14ac:dyDescent="0.25">
      <c r="B2" s="393" t="s">
        <v>259</v>
      </c>
      <c r="C2" s="393"/>
      <c r="D2" s="393"/>
      <c r="E2" s="393"/>
      <c r="F2" s="393"/>
      <c r="G2" s="393"/>
      <c r="H2" s="393"/>
      <c r="I2" s="393"/>
      <c r="J2" s="393"/>
      <c r="K2" s="393"/>
      <c r="L2" s="393"/>
      <c r="M2" s="393"/>
      <c r="N2" s="393"/>
      <c r="O2" s="393"/>
    </row>
    <row r="3" spans="1:17" x14ac:dyDescent="0.25">
      <c r="B3" s="199" t="s">
        <v>171</v>
      </c>
      <c r="D3" s="199" t="s">
        <v>172</v>
      </c>
      <c r="N3" s="200" t="s">
        <v>277</v>
      </c>
    </row>
    <row r="4" spans="1:17" x14ac:dyDescent="0.35">
      <c r="B4" s="201">
        <f ca="1">IF(COUNT(A:A)&lt;&gt;0,COUNT(A:A),"")</f>
        <v>1</v>
      </c>
      <c r="C4" s="202" t="str">
        <f ca="1">IF(B4&lt;&gt;"","ITEMS NEED ATTENTION BEFORE CONCEPT DESIGN SUBMISSION. NO CREDIT RESULTS CAN BE SHOWN.","")</f>
        <v>ITEMS NEED ATTENTION BEFORE CONCEPT DESIGN SUBMISSION. NO CREDIT RESULTS CAN BE SHOWN.</v>
      </c>
    </row>
    <row r="5" spans="1:17" x14ac:dyDescent="0.25"/>
    <row r="6" spans="1:17" s="204" customFormat="1" ht="31.9" customHeight="1" x14ac:dyDescent="0.25">
      <c r="A6" s="203"/>
      <c r="B6" s="37" t="s">
        <v>113</v>
      </c>
      <c r="C6" s="38"/>
      <c r="D6" s="38"/>
      <c r="E6" s="38"/>
      <c r="F6" s="38"/>
      <c r="G6" s="38"/>
      <c r="H6" s="38"/>
      <c r="I6" s="38"/>
      <c r="J6" s="38"/>
      <c r="K6" s="38"/>
      <c r="L6" s="38"/>
      <c r="M6" s="38"/>
      <c r="N6" s="38"/>
      <c r="O6" s="38"/>
      <c r="P6" s="38"/>
      <c r="Q6" s="197"/>
    </row>
    <row r="7" spans="1:17" x14ac:dyDescent="0.25">
      <c r="B7" s="205"/>
      <c r="C7" s="205"/>
    </row>
    <row r="8" spans="1:17" s="197" customFormat="1" ht="21.75" thickBot="1" x14ac:dyDescent="0.3">
      <c r="A8" s="195"/>
      <c r="B8" s="206" t="s">
        <v>48</v>
      </c>
      <c r="C8" s="207"/>
      <c r="D8" s="207"/>
      <c r="E8" s="208"/>
      <c r="F8" s="208"/>
      <c r="G8" s="208"/>
      <c r="H8" s="208"/>
      <c r="I8" s="208"/>
      <c r="J8" s="208"/>
      <c r="K8" s="208"/>
      <c r="L8" s="208"/>
      <c r="M8" s="208"/>
      <c r="N8" s="209"/>
      <c r="O8" s="208"/>
      <c r="P8" s="208"/>
    </row>
    <row r="9" spans="1:17" x14ac:dyDescent="0.25">
      <c r="B9" s="205"/>
      <c r="C9" s="205"/>
    </row>
    <row r="10" spans="1:17" s="204" customFormat="1" ht="14.45" customHeight="1" x14ac:dyDescent="0.25">
      <c r="A10" s="203">
        <f>IF(J10="",1,"")</f>
        <v>1</v>
      </c>
      <c r="B10" s="210" t="s">
        <v>97</v>
      </c>
      <c r="C10" s="211"/>
      <c r="D10" s="212"/>
      <c r="E10" s="212"/>
      <c r="F10" s="212"/>
      <c r="G10" s="212"/>
      <c r="H10" s="212"/>
      <c r="I10" s="212"/>
      <c r="J10" s="359" t="str">
        <f>InteractiveReadyReckoner!L8</f>
        <v/>
      </c>
      <c r="K10" s="359"/>
      <c r="L10" s="359"/>
      <c r="M10" s="359"/>
      <c r="N10" s="359"/>
      <c r="O10" s="213"/>
      <c r="P10" s="197"/>
      <c r="Q10" s="214"/>
    </row>
    <row r="11" spans="1:17" s="204" customFormat="1" ht="14.45" customHeight="1" x14ac:dyDescent="0.25">
      <c r="A11" s="203"/>
      <c r="B11" s="210" t="s">
        <v>256</v>
      </c>
      <c r="C11" s="211"/>
      <c r="D11" s="212"/>
      <c r="E11" s="212"/>
      <c r="F11" s="212"/>
      <c r="G11" s="212"/>
      <c r="H11" s="212"/>
      <c r="I11" s="212"/>
      <c r="J11" s="422" t="str">
        <f>InteractiveReadyReckoner!L9</f>
        <v/>
      </c>
      <c r="K11" s="359"/>
      <c r="L11" s="359"/>
      <c r="M11" s="359"/>
      <c r="N11" s="359"/>
      <c r="O11" s="213"/>
      <c r="P11" s="197"/>
      <c r="Q11" s="214"/>
    </row>
    <row r="12" spans="1:17" s="204" customFormat="1" ht="14.45" customHeight="1" x14ac:dyDescent="0.25">
      <c r="A12" s="203" t="str">
        <f>IF(J12="",1,"")</f>
        <v/>
      </c>
      <c r="B12" s="210" t="str">
        <f>IF(J10&lt;&gt;"","Functional quantity 1 during Concept Design ("&amp;VLOOKUP($J$10,FunctionalUnit,3,FALSE)&amp;"):","")</f>
        <v/>
      </c>
      <c r="C12" s="211"/>
      <c r="D12" s="212"/>
      <c r="E12" s="212"/>
      <c r="F12" s="212"/>
      <c r="G12" s="212"/>
      <c r="H12" s="212"/>
      <c r="I12" s="212"/>
      <c r="J12" s="376">
        <f>InteractiveReadyReckoner!L10</f>
        <v>1</v>
      </c>
      <c r="K12" s="376"/>
      <c r="L12" s="376"/>
      <c r="M12" s="376"/>
      <c r="N12" s="376"/>
      <c r="O12" s="213"/>
      <c r="P12" s="197"/>
      <c r="Q12" s="214"/>
    </row>
    <row r="13" spans="1:17" s="204" customFormat="1" ht="14.45" customHeight="1" x14ac:dyDescent="0.25">
      <c r="A13" s="203"/>
      <c r="B13" s="210" t="str">
        <f>IF(J10&lt;&gt;"","Functional quantity 2 during Concept Design ("&amp;VLOOKUP($J$10,FunctionalUnit,4,FALSE)&amp;"):","")</f>
        <v/>
      </c>
      <c r="C13" s="211"/>
      <c r="D13" s="212"/>
      <c r="E13" s="212"/>
      <c r="F13" s="212"/>
      <c r="G13" s="212"/>
      <c r="H13" s="212"/>
      <c r="I13" s="212"/>
      <c r="J13" s="376"/>
      <c r="K13" s="376"/>
      <c r="L13" s="376"/>
      <c r="M13" s="376"/>
      <c r="N13" s="376"/>
      <c r="O13" s="213"/>
      <c r="P13" s="197"/>
      <c r="Q13" s="214"/>
    </row>
    <row r="14" spans="1:17" s="204" customFormat="1" ht="14.45" customHeight="1" x14ac:dyDescent="0.25">
      <c r="A14" s="203"/>
      <c r="B14" s="197"/>
      <c r="C14" s="197"/>
      <c r="D14" s="197"/>
      <c r="E14" s="197"/>
      <c r="F14" s="197"/>
      <c r="G14" s="197"/>
      <c r="H14" s="197"/>
      <c r="I14" s="197"/>
      <c r="J14" s="197"/>
      <c r="K14" s="197"/>
      <c r="L14" s="197"/>
      <c r="M14" s="197"/>
      <c r="N14" s="197"/>
      <c r="O14" s="197"/>
      <c r="P14" s="197"/>
      <c r="Q14" s="214"/>
    </row>
    <row r="15" spans="1:17" s="204" customFormat="1" ht="14.45" customHeight="1" x14ac:dyDescent="0.25">
      <c r="A15" s="203"/>
      <c r="B15" s="210" t="s">
        <v>217</v>
      </c>
      <c r="C15" s="211"/>
      <c r="D15" s="212"/>
      <c r="E15" s="212"/>
      <c r="F15" s="212"/>
      <c r="G15" s="212"/>
      <c r="H15" s="212"/>
      <c r="I15" s="215" t="s">
        <v>169</v>
      </c>
      <c r="J15" s="398" t="str">
        <f>InteractiveReadyReckoner!L13</f>
        <v/>
      </c>
      <c r="K15" s="376"/>
      <c r="L15" s="376"/>
      <c r="M15" s="376"/>
      <c r="N15" s="376"/>
      <c r="O15" s="216"/>
      <c r="P15" s="197"/>
      <c r="Q15" s="214"/>
    </row>
    <row r="16" spans="1:17" s="204" customFormat="1" ht="14.45" customHeight="1" x14ac:dyDescent="0.25">
      <c r="A16" s="203" t="str">
        <f t="shared" ref="A16:A17" si="0">IF(B16&lt;&gt;"",1,"")</f>
        <v/>
      </c>
      <c r="B16" s="217" t="str">
        <f>IFERROR(IF(AND(OR(J11="Part new-build part refurbishment",J11="Simple building",VLOOKUP(J10,Lookups!$B$10:$F$23,5,FALSE)="N"),SelectedToolBM&lt;&gt;""),"Superstructure comparison with the BREEAM benchmark is not possible for this building use type. No tool should be selected.",""),"")</f>
        <v/>
      </c>
      <c r="C16" s="217"/>
      <c r="D16" s="217"/>
      <c r="E16" s="217"/>
      <c r="F16" s="217"/>
      <c r="G16" s="217"/>
      <c r="H16" s="218"/>
      <c r="I16" s="218"/>
      <c r="J16" s="218"/>
      <c r="K16" s="218"/>
      <c r="L16" s="218"/>
      <c r="M16" s="218"/>
      <c r="N16" s="218"/>
      <c r="O16" s="219"/>
      <c r="P16" s="197"/>
      <c r="Q16" s="214"/>
    </row>
    <row r="17" spans="1:17" s="204" customFormat="1" ht="14.45" customHeight="1" x14ac:dyDescent="0.25">
      <c r="A17" s="203" t="str">
        <f t="shared" si="0"/>
        <v/>
      </c>
      <c r="B17" s="217" t="str">
        <f>IFERROR(IF(AND(J11&lt;&gt;"Part new-build part refurbishment",J11&lt;&gt;"Simple building",VLOOKUP($J$10,Lookups!$B$10:$F$23,5,FALSE)="Y",SelectedToolBM="",J19="Yes"),"Superstructure comparison with the BREEAM benchmark during Concept Design must be done for this building type if option appraisal during Concept Design is done.",""),"")</f>
        <v/>
      </c>
      <c r="C17" s="217"/>
      <c r="D17" s="217"/>
      <c r="E17" s="217"/>
      <c r="F17" s="217"/>
      <c r="G17" s="217"/>
      <c r="H17" s="218"/>
      <c r="I17" s="218"/>
      <c r="J17" s="218"/>
      <c r="K17" s="218"/>
      <c r="L17" s="218"/>
      <c r="M17" s="218"/>
      <c r="N17" s="218"/>
      <c r="O17" s="219"/>
      <c r="P17" s="197"/>
      <c r="Q17" s="214"/>
    </row>
    <row r="18" spans="1:17" s="204" customFormat="1" ht="14.45" customHeight="1" x14ac:dyDescent="0.25">
      <c r="A18" s="203"/>
      <c r="B18" s="196"/>
      <c r="C18" s="196"/>
      <c r="D18" s="196"/>
      <c r="E18" s="196"/>
      <c r="F18" s="196"/>
      <c r="G18" s="196"/>
      <c r="H18" s="196"/>
      <c r="I18" s="196"/>
      <c r="J18" s="196"/>
      <c r="K18" s="196"/>
      <c r="L18" s="196"/>
      <c r="M18" s="196"/>
      <c r="N18" s="196"/>
      <c r="O18" s="196"/>
      <c r="P18" s="197"/>
      <c r="Q18" s="214"/>
    </row>
    <row r="19" spans="1:17" s="204" customFormat="1" ht="14.45" customHeight="1" x14ac:dyDescent="0.25">
      <c r="A19" s="203" t="str">
        <f>IF(J19="",1,"")</f>
        <v/>
      </c>
      <c r="B19" s="210" t="s">
        <v>88</v>
      </c>
      <c r="C19" s="211"/>
      <c r="D19" s="220"/>
      <c r="E19" s="220"/>
      <c r="F19" s="220"/>
      <c r="G19" s="220"/>
      <c r="H19" s="220"/>
      <c r="I19" s="220"/>
      <c r="J19" s="377" t="str">
        <f>InteractiveReadyReckoner!L23</f>
        <v>No</v>
      </c>
      <c r="K19" s="378"/>
      <c r="L19" s="378"/>
      <c r="M19" s="378"/>
      <c r="N19" s="379"/>
      <c r="O19" s="196"/>
      <c r="P19" s="197"/>
      <c r="Q19" s="214"/>
    </row>
    <row r="20" spans="1:17" s="204" customFormat="1" ht="14.45" customHeight="1" x14ac:dyDescent="0.25">
      <c r="A20" s="203" t="str">
        <f>IF(J20="",1,"")</f>
        <v/>
      </c>
      <c r="B20" s="210" t="s">
        <v>89</v>
      </c>
      <c r="C20" s="211"/>
      <c r="D20" s="220"/>
      <c r="E20" s="220"/>
      <c r="F20" s="220"/>
      <c r="G20" s="220"/>
      <c r="H20" s="220"/>
      <c r="I20" s="220"/>
      <c r="J20" s="377" t="str">
        <f>InteractiveReadyReckoner!L24</f>
        <v>No</v>
      </c>
      <c r="K20" s="378"/>
      <c r="L20" s="378"/>
      <c r="M20" s="378"/>
      <c r="N20" s="379"/>
      <c r="O20" s="196"/>
      <c r="P20" s="197"/>
      <c r="Q20" s="214"/>
    </row>
    <row r="21" spans="1:17" s="204" customFormat="1" ht="14.45" customHeight="1" x14ac:dyDescent="0.25">
      <c r="A21" s="203" t="str">
        <f>IF(J21="",1,"")</f>
        <v/>
      </c>
      <c r="B21" s="210" t="s">
        <v>90</v>
      </c>
      <c r="C21" s="211"/>
      <c r="D21" s="220"/>
      <c r="E21" s="220"/>
      <c r="F21" s="220"/>
      <c r="G21" s="220"/>
      <c r="H21" s="220"/>
      <c r="I21" s="220"/>
      <c r="J21" s="377" t="str">
        <f>InteractiveReadyReckoner!L25</f>
        <v>No</v>
      </c>
      <c r="K21" s="378"/>
      <c r="L21" s="378"/>
      <c r="M21" s="378"/>
      <c r="N21" s="379"/>
      <c r="O21" s="196"/>
      <c r="P21" s="197"/>
      <c r="Q21" s="214"/>
    </row>
    <row r="22" spans="1:17" x14ac:dyDescent="0.25">
      <c r="A22" s="203"/>
      <c r="B22" s="210" t="s">
        <v>98</v>
      </c>
      <c r="C22" s="211"/>
      <c r="D22" s="212"/>
      <c r="E22" s="212"/>
      <c r="F22" s="221"/>
      <c r="G22" s="210"/>
      <c r="H22" s="212"/>
      <c r="I22" s="215" t="s">
        <v>169</v>
      </c>
      <c r="J22" s="399" t="str">
        <f>InteractiveReadyReckoner!L22</f>
        <v/>
      </c>
      <c r="K22" s="378"/>
      <c r="L22" s="378"/>
      <c r="M22" s="378"/>
      <c r="N22" s="379"/>
      <c r="P22" s="197"/>
    </row>
    <row r="23" spans="1:17" x14ac:dyDescent="0.25">
      <c r="A23" s="203"/>
      <c r="B23" s="222" t="s">
        <v>91</v>
      </c>
      <c r="C23" s="211"/>
      <c r="D23" s="223"/>
      <c r="E23" s="221"/>
      <c r="F23" s="221"/>
      <c r="G23" s="221"/>
      <c r="H23" s="221"/>
      <c r="I23" s="221"/>
      <c r="J23" s="373" t="str">
        <f>IF(SelectedToolOA&lt;&gt;"",VLOOKUP(SelectedToolOA,ToolsRecognisedbyBREEAM!$B$10:$D$17,3,FALSE),"")</f>
        <v/>
      </c>
      <c r="K23" s="374"/>
      <c r="L23" s="374"/>
      <c r="M23" s="374"/>
      <c r="N23" s="375"/>
      <c r="P23" s="197"/>
    </row>
    <row r="24" spans="1:17" x14ac:dyDescent="0.25">
      <c r="A24" s="203"/>
      <c r="B24" s="222" t="s">
        <v>92</v>
      </c>
      <c r="C24" s="211"/>
      <c r="D24" s="223"/>
      <c r="E24" s="221"/>
      <c r="F24" s="221"/>
      <c r="G24" s="221"/>
      <c r="H24" s="221"/>
      <c r="I24" s="221"/>
      <c r="J24" s="373" t="str">
        <f>IF(SelectedToolOA&lt;&gt;"",VLOOKUP(SelectedToolOA,ToolsRecognisedbyBREEAM!$B$10:$G$17,4,FALSE),"")</f>
        <v/>
      </c>
      <c r="K24" s="374"/>
      <c r="L24" s="374"/>
      <c r="M24" s="374"/>
      <c r="N24" s="375"/>
      <c r="P24" s="197"/>
    </row>
    <row r="25" spans="1:17" x14ac:dyDescent="0.25">
      <c r="A25" s="203"/>
      <c r="B25" s="222" t="s">
        <v>93</v>
      </c>
      <c r="C25" s="211"/>
      <c r="D25" s="223"/>
      <c r="E25" s="221"/>
      <c r="F25" s="221"/>
      <c r="G25" s="221"/>
      <c r="H25" s="221"/>
      <c r="I25" s="221"/>
      <c r="J25" s="373" t="str">
        <f>IF(SelectedToolOA&lt;&gt;"",VLOOKUP(SelectedToolOA,ToolsRecognisedbyBREEAM!$B$10:$G$17,5,FALSE),"")</f>
        <v/>
      </c>
      <c r="K25" s="374"/>
      <c r="L25" s="374"/>
      <c r="M25" s="374"/>
      <c r="N25" s="375"/>
      <c r="P25" s="197"/>
    </row>
    <row r="26" spans="1:17" x14ac:dyDescent="0.25">
      <c r="A26" s="203"/>
      <c r="B26" s="222" t="s">
        <v>94</v>
      </c>
      <c r="C26" s="211"/>
      <c r="D26" s="223"/>
      <c r="E26" s="221"/>
      <c r="F26" s="221"/>
      <c r="G26" s="221"/>
      <c r="H26" s="221"/>
      <c r="I26" s="221"/>
      <c r="J26" s="373" t="str">
        <f>IF(SelectedToolOA&lt;&gt;"",VLOOKUP(SelectedToolOA,ToolsRecognisedbyBREEAM!$B$10:$G$17,6,FALSE),"")</f>
        <v/>
      </c>
      <c r="K26" s="374"/>
      <c r="L26" s="374"/>
      <c r="M26" s="374"/>
      <c r="N26" s="375"/>
      <c r="P26" s="197"/>
    </row>
    <row r="27" spans="1:17" x14ac:dyDescent="0.25">
      <c r="A27" s="203"/>
      <c r="B27" s="222" t="s">
        <v>218</v>
      </c>
      <c r="C27" s="211"/>
      <c r="D27" s="223"/>
      <c r="E27" s="221"/>
      <c r="F27" s="221"/>
      <c r="G27" s="221"/>
      <c r="H27" s="221"/>
      <c r="I27" s="221"/>
      <c r="J27" s="373" t="str">
        <f>IF(SelectedToolOA&lt;&gt;"",VLOOKUP(SelectedToolOA,RecognisedToolsEnvImpactComparisonUnit,9,FALSE),"")</f>
        <v/>
      </c>
      <c r="K27" s="374"/>
      <c r="L27" s="374"/>
      <c r="M27" s="374"/>
      <c r="N27" s="375"/>
      <c r="P27" s="197"/>
    </row>
    <row r="28" spans="1:17" s="204" customFormat="1" ht="14.45" customHeight="1" x14ac:dyDescent="0.25">
      <c r="A28" s="203" t="str">
        <f>IF(B28&lt;&gt;"",1,"")</f>
        <v/>
      </c>
      <c r="B28" s="217" t="str">
        <f>IF(AND(J19="no",OR(J20="Yes",J21="Yes")),"Superstructure options appraisal must be done if either substructure and hard landscaping OR core building services option appraisal are done.","")</f>
        <v/>
      </c>
      <c r="C28" s="217"/>
      <c r="D28" s="217"/>
      <c r="E28" s="217"/>
      <c r="F28" s="217"/>
      <c r="G28" s="217"/>
      <c r="H28" s="218"/>
      <c r="I28" s="218"/>
      <c r="J28" s="224"/>
      <c r="K28" s="224"/>
      <c r="L28" s="224"/>
      <c r="M28" s="224"/>
      <c r="N28" s="224"/>
      <c r="O28" s="196"/>
      <c r="P28" s="197"/>
      <c r="Q28" s="214"/>
    </row>
    <row r="29" spans="1:17" s="204" customFormat="1" ht="14.45" customHeight="1" x14ac:dyDescent="0.25">
      <c r="A29" s="203" t="str">
        <f>IF(B29&lt;&gt;"",1,"")</f>
        <v/>
      </c>
      <c r="B29" s="217" t="str">
        <f>IF(AND(SelectedToolOA="",OR(J19="yes",J20="yes",J21="yes")),"Options appraisal is indicated as done. A tool must be selected.","")</f>
        <v/>
      </c>
      <c r="C29" s="217"/>
      <c r="D29" s="217"/>
      <c r="E29" s="217"/>
      <c r="F29" s="217"/>
      <c r="G29" s="217"/>
      <c r="H29" s="218"/>
      <c r="I29" s="218"/>
      <c r="J29" s="224"/>
      <c r="K29" s="224"/>
      <c r="L29" s="224"/>
      <c r="M29" s="224"/>
      <c r="N29" s="224"/>
      <c r="O29" s="196"/>
      <c r="P29" s="197"/>
      <c r="Q29" s="214"/>
    </row>
    <row r="30" spans="1:17" s="204" customFormat="1" ht="14.45" customHeight="1" x14ac:dyDescent="0.25">
      <c r="A30" s="203" t="str">
        <f>IF(B30&lt;&gt;"",1,"")</f>
        <v/>
      </c>
      <c r="B30" s="217" t="str">
        <f>IF(AND(SelectedToolBM&lt;&gt;"",SelectedToolOA&lt;&gt;"",COUNTIF(RecognisedToolsBM,SelectedToolOA)&gt;=1,SelectedToolBM&lt;&gt;SelectedToolOA),"The tool selected for options appraisal is also suitable for 'comparion with the BREEAM benchmark'. One of them must be selected for both.","")</f>
        <v/>
      </c>
      <c r="C30" s="217"/>
      <c r="D30" s="217"/>
      <c r="E30" s="217"/>
      <c r="F30" s="217"/>
      <c r="G30" s="217"/>
      <c r="H30" s="218"/>
      <c r="I30" s="218"/>
      <c r="J30" s="224"/>
      <c r="K30" s="224"/>
      <c r="L30" s="224"/>
      <c r="M30" s="224"/>
      <c r="N30" s="224"/>
      <c r="O30" s="196"/>
      <c r="P30" s="197"/>
      <c r="Q30" s="214"/>
    </row>
    <row r="31" spans="1:17" s="204" customFormat="1" ht="14.45" customHeight="1" x14ac:dyDescent="0.25">
      <c r="A31" s="203"/>
      <c r="B31" s="196"/>
      <c r="C31" s="225"/>
      <c r="D31" s="226"/>
      <c r="E31" s="226"/>
      <c r="F31" s="226"/>
      <c r="G31" s="226"/>
      <c r="H31" s="226"/>
      <c r="I31" s="226"/>
      <c r="J31" s="227"/>
      <c r="K31" s="227"/>
      <c r="L31" s="227"/>
      <c r="M31" s="227"/>
      <c r="N31" s="227"/>
      <c r="O31" s="216"/>
      <c r="P31" s="216"/>
      <c r="Q31" s="214"/>
    </row>
    <row r="32" spans="1:17" s="197" customFormat="1" ht="21.75" thickBot="1" x14ac:dyDescent="0.3">
      <c r="A32" s="203"/>
      <c r="B32" s="206" t="s">
        <v>237</v>
      </c>
      <c r="C32" s="207"/>
      <c r="D32" s="207"/>
      <c r="E32" s="208"/>
      <c r="F32" s="208"/>
      <c r="G32" s="208"/>
      <c r="H32" s="208"/>
      <c r="I32" s="208"/>
      <c r="J32" s="208"/>
      <c r="K32" s="208"/>
      <c r="L32" s="208"/>
      <c r="M32" s="208"/>
      <c r="N32" s="209"/>
      <c r="O32" s="208"/>
      <c r="P32" s="208"/>
    </row>
    <row r="33" spans="1:17" s="197" customFormat="1" ht="16.149999999999999" customHeight="1" x14ac:dyDescent="0.25">
      <c r="A33" s="203"/>
      <c r="B33" s="228"/>
      <c r="C33" s="229"/>
      <c r="D33" s="229"/>
      <c r="N33" s="205"/>
    </row>
    <row r="34" spans="1:17" s="197" customFormat="1" ht="16.149999999999999" customHeight="1" x14ac:dyDescent="0.25">
      <c r="A34" s="203"/>
      <c r="B34" s="230" t="str">
        <f>IF(SelectedToolBM&lt;&gt;"",Note_CD_Benchmark_file,Note_No_CDBenchmark)</f>
        <v>Comparion with the benchmark not done. This section n/a. A blank 'Mat01_CD_SuperS_B' data file shall be saved in the same folder as this file.</v>
      </c>
      <c r="C34" s="231"/>
      <c r="D34" s="232"/>
      <c r="E34" s="232"/>
      <c r="F34" s="232"/>
      <c r="G34" s="232"/>
      <c r="H34" s="232"/>
      <c r="I34" s="232"/>
      <c r="J34" s="224"/>
      <c r="K34" s="224"/>
      <c r="L34" s="224"/>
      <c r="M34" s="224"/>
      <c r="N34" s="224"/>
    </row>
    <row r="35" spans="1:17" s="197" customFormat="1" ht="16.149999999999999" customHeight="1" x14ac:dyDescent="0.25">
      <c r="A35" s="203"/>
      <c r="B35" s="228"/>
      <c r="C35" s="229"/>
      <c r="D35" s="229"/>
      <c r="N35" s="205"/>
    </row>
    <row r="36" spans="1:17" s="197" customFormat="1" ht="72" customHeight="1" x14ac:dyDescent="0.25">
      <c r="A36" s="203"/>
      <c r="B36" s="361" t="s">
        <v>6</v>
      </c>
      <c r="C36" s="362"/>
      <c r="D36" s="363" t="s">
        <v>75</v>
      </c>
      <c r="E36" s="363" t="s">
        <v>31</v>
      </c>
      <c r="F36" s="370" t="s">
        <v>338</v>
      </c>
      <c r="G36" s="371"/>
      <c r="H36" s="371"/>
      <c r="I36" s="371"/>
      <c r="J36" s="371"/>
      <c r="K36" s="371"/>
      <c r="L36" s="371"/>
      <c r="M36" s="372"/>
    </row>
    <row r="37" spans="1:17" s="197" customFormat="1" ht="28.9" customHeight="1" x14ac:dyDescent="0.25">
      <c r="A37" s="203"/>
      <c r="B37" s="233" t="s">
        <v>4</v>
      </c>
      <c r="C37" s="234" t="s">
        <v>5</v>
      </c>
      <c r="D37" s="364"/>
      <c r="E37" s="364"/>
      <c r="F37" s="235" t="str">
        <f>Classification!$C$3</f>
        <v>2.1 Frame</v>
      </c>
      <c r="G37" s="235" t="str">
        <f>Classification!$C$4</f>
        <v>2.2 Upper floors</v>
      </c>
      <c r="H37" s="235" t="str">
        <f>Classification!$C$5</f>
        <v>2.3 Roof</v>
      </c>
      <c r="I37" s="235" t="str">
        <f>Classification!$C$6</f>
        <v>2.4 Stairs and ramps</v>
      </c>
      <c r="J37" s="235" t="str">
        <f>Classification!$C$7</f>
        <v>2.5 External walls</v>
      </c>
      <c r="K37" s="235" t="str">
        <f>Classification!$C$8</f>
        <v>2.6 Windows and external doors</v>
      </c>
      <c r="L37" s="235" t="str">
        <f>Classification!$C$9</f>
        <v>2.7 Internal walls and partitions</v>
      </c>
      <c r="M37" s="235" t="s">
        <v>11</v>
      </c>
    </row>
    <row r="38" spans="1:17" s="197" customFormat="1" ht="16.149999999999999" customHeight="1" x14ac:dyDescent="0.25">
      <c r="A38" s="203"/>
      <c r="B38" s="236" t="s">
        <v>249</v>
      </c>
      <c r="C38" s="236" t="s">
        <v>250</v>
      </c>
      <c r="D38" s="237" t="s">
        <v>7</v>
      </c>
      <c r="E38" s="238">
        <f>J12</f>
        <v>1</v>
      </c>
      <c r="F38" s="239" t="e">
        <v>#N/A</v>
      </c>
      <c r="G38" s="239" t="e">
        <v>#N/A</v>
      </c>
      <c r="H38" s="239" t="e">
        <v>#N/A</v>
      </c>
      <c r="I38" s="239" t="e">
        <v>#N/A</v>
      </c>
      <c r="J38" s="239" t="e">
        <v>#N/A</v>
      </c>
      <c r="K38" s="239" t="e">
        <v>#N/A</v>
      </c>
      <c r="L38" s="239" t="e">
        <v>#N/A</v>
      </c>
      <c r="M38" s="239" t="e">
        <f>SUM(F38:L38)</f>
        <v>#N/A</v>
      </c>
    </row>
    <row r="39" spans="1:17" s="197" customFormat="1" ht="16.149999999999999" customHeight="1" x14ac:dyDescent="0.25">
      <c r="A39" s="203"/>
      <c r="B39" s="228"/>
      <c r="C39" s="229"/>
      <c r="D39" s="229"/>
      <c r="N39" s="205"/>
    </row>
    <row r="40" spans="1:17" s="197" customFormat="1" ht="16.149999999999999" customHeight="1" x14ac:dyDescent="0.25">
      <c r="A40" s="203"/>
      <c r="B40" s="222" t="str">
        <f>"Result from tool (BRE EN ecopoints / m2 NIA):"</f>
        <v>Result from tool (BRE EN ecopoints / m2 NIA):</v>
      </c>
      <c r="C40" s="211"/>
      <c r="D40" s="221"/>
      <c r="E40" s="221"/>
      <c r="F40" s="221"/>
      <c r="G40" s="221"/>
      <c r="H40" s="221"/>
      <c r="I40" s="221"/>
      <c r="J40" s="394" t="e">
        <f>M38</f>
        <v>#N/A</v>
      </c>
      <c r="K40" s="394"/>
      <c r="L40" s="394"/>
      <c r="M40" s="394"/>
      <c r="N40" s="394"/>
    </row>
    <row r="41" spans="1:17" s="197" customFormat="1" ht="16.149999999999999" customHeight="1" x14ac:dyDescent="0.25">
      <c r="A41" s="203"/>
      <c r="B41" s="222" t="s">
        <v>337</v>
      </c>
      <c r="C41" s="211"/>
      <c r="D41" s="221"/>
      <c r="E41" s="221"/>
      <c r="F41" s="221"/>
      <c r="G41" s="221"/>
      <c r="H41" s="221"/>
      <c r="I41" s="221"/>
      <c r="J41" s="395" t="e">
        <f>IF(OR(J11="Part new-build part refurbishment",J11="Simple building",SelectedToolBM="",J40=""),"N/A",VLOOKUP($J$10,BUTBenchmarks,6,FALSE))</f>
        <v>#N/A</v>
      </c>
      <c r="K41" s="395"/>
      <c r="L41" s="395"/>
      <c r="M41" s="395"/>
      <c r="N41" s="395"/>
    </row>
    <row r="42" spans="1:17" s="197" customFormat="1" ht="16.149999999999999" customHeight="1" x14ac:dyDescent="0.25">
      <c r="A42" s="203"/>
      <c r="B42" s="222" t="s">
        <v>95</v>
      </c>
      <c r="C42" s="211"/>
      <c r="D42" s="221"/>
      <c r="E42" s="221"/>
      <c r="F42" s="221"/>
      <c r="G42" s="221"/>
      <c r="H42" s="221"/>
      <c r="I42" s="221"/>
      <c r="J42" s="396" t="str">
        <f>IF(ISTEXT(InteractiveReadyReckoner!D8),InteractiveReadyReckoner!L14,IFERROR(IF(OR(J11="Part new-build part refurbishment",J11="Simple building",SelectedToolBM="",J40="",VLOOKUP(J10,Lookups!$B$10:$F$23,5,FALSE)="N"),"",100%-J40/J41),""))</f>
        <v/>
      </c>
      <c r="K42" s="396"/>
      <c r="L42" s="396"/>
      <c r="M42" s="396"/>
      <c r="N42" s="396"/>
    </row>
    <row r="43" spans="1:17" s="197" customFormat="1" ht="16.149999999999999" customHeight="1" x14ac:dyDescent="0.25">
      <c r="A43" s="203"/>
      <c r="B43" s="240" t="s">
        <v>96</v>
      </c>
      <c r="C43" s="211"/>
      <c r="D43" s="241"/>
      <c r="E43" s="241"/>
      <c r="F43" s="241"/>
      <c r="G43" s="241"/>
      <c r="H43" s="241"/>
      <c r="I43" s="241"/>
      <c r="J43" s="397" t="str">
        <f>IFERROR(IF(OR(J11="Part new-build part refurbishment",J11="Simple building",SelectedToolBM="",J40="",VLOOKUP(J10,Lookups!$B$10:$F$23,5,FALSE)="N"),"--",IF((J42*100)&lt;CreditsBMMinimum,0,VLOOKUP(J42*100,CreditsBMScale,3,TRUE))),"--")</f>
        <v>--</v>
      </c>
      <c r="K43" s="397"/>
      <c r="L43" s="397"/>
      <c r="M43" s="397"/>
      <c r="N43" s="397"/>
    </row>
    <row r="44" spans="1:17" s="204" customFormat="1" ht="14.45" customHeight="1" x14ac:dyDescent="0.25">
      <c r="A44" s="203"/>
      <c r="B44" s="242"/>
      <c r="C44" s="242"/>
      <c r="D44" s="242"/>
      <c r="E44" s="242"/>
      <c r="F44" s="242"/>
      <c r="G44" s="242"/>
      <c r="H44" s="242"/>
      <c r="I44" s="242"/>
      <c r="J44" s="242"/>
      <c r="K44" s="227"/>
      <c r="L44" s="227"/>
      <c r="M44" s="227"/>
      <c r="N44" s="227"/>
      <c r="O44" s="227"/>
      <c r="P44" s="196"/>
      <c r="Q44" s="214"/>
    </row>
    <row r="45" spans="1:17" s="204" customFormat="1" ht="21" customHeight="1" thickBot="1" x14ac:dyDescent="0.4">
      <c r="A45" s="203"/>
      <c r="B45" s="243" t="s">
        <v>45</v>
      </c>
      <c r="C45" s="244"/>
      <c r="D45" s="244"/>
      <c r="E45" s="244"/>
      <c r="F45" s="244"/>
      <c r="G45" s="244"/>
      <c r="H45" s="244"/>
      <c r="I45" s="244"/>
      <c r="J45" s="244"/>
      <c r="K45" s="245"/>
      <c r="L45" s="245"/>
      <c r="M45" s="245"/>
      <c r="N45" s="245"/>
      <c r="O45" s="245"/>
      <c r="P45" s="246"/>
      <c r="Q45" s="214"/>
    </row>
    <row r="46" spans="1:17" s="204" customFormat="1" ht="14.45" customHeight="1" x14ac:dyDescent="0.25">
      <c r="A46" s="203"/>
      <c r="B46" s="242"/>
      <c r="C46" s="242"/>
      <c r="D46" s="242"/>
      <c r="E46" s="242"/>
      <c r="F46" s="242"/>
      <c r="G46" s="242"/>
      <c r="H46" s="242"/>
      <c r="I46" s="242"/>
      <c r="J46" s="227"/>
      <c r="K46" s="227"/>
      <c r="L46" s="227"/>
      <c r="M46" s="227"/>
      <c r="N46" s="227"/>
      <c r="O46" s="227"/>
      <c r="P46" s="196"/>
      <c r="Q46" s="214"/>
    </row>
    <row r="47" spans="1:17" s="204" customFormat="1" x14ac:dyDescent="0.25">
      <c r="A47" s="203"/>
      <c r="B47" s="230" t="str">
        <f>IF(J19="Yes","Complete rows 'ID 1' and 'ID 2' or more (according to the number of options done) in the following table base on option data files from the '"&amp;SelectedToolOA&amp;"' tool. The completed data files shall be saved in the same folder as this file.","Superstructure options appraisal not done. This section shall be left blank. The uncompleted data files shall still be saved in the same folder as this file.")</f>
        <v>Superstructure options appraisal not done. This section shall be left blank. The uncompleted data files shall still be saved in the same folder as this file.</v>
      </c>
      <c r="C47" s="231"/>
      <c r="D47" s="232"/>
      <c r="E47" s="232"/>
      <c r="F47" s="232"/>
      <c r="G47" s="232"/>
      <c r="H47" s="232"/>
      <c r="I47" s="232"/>
      <c r="J47" s="224"/>
      <c r="K47" s="224"/>
      <c r="L47" s="224"/>
      <c r="M47" s="224"/>
      <c r="N47" s="224"/>
      <c r="O47" s="197"/>
      <c r="P47" s="197"/>
      <c r="Q47" s="214"/>
    </row>
    <row r="48" spans="1:17" s="204" customFormat="1" ht="18" customHeight="1" x14ac:dyDescent="0.35">
      <c r="A48" s="203"/>
      <c r="B48" s="247"/>
      <c r="J48" s="248"/>
      <c r="K48" s="214"/>
      <c r="L48" s="214"/>
      <c r="M48" s="214"/>
      <c r="N48" s="214"/>
      <c r="O48" s="214"/>
      <c r="Q48" s="214"/>
    </row>
    <row r="49" spans="1:19" s="204" customFormat="1" ht="72" customHeight="1" x14ac:dyDescent="0.25">
      <c r="A49" s="203"/>
      <c r="B49" s="361" t="s">
        <v>6</v>
      </c>
      <c r="C49" s="362"/>
      <c r="D49" s="363" t="s">
        <v>75</v>
      </c>
      <c r="E49" s="363" t="e">
        <f>VLOOKUP($J$10,FunctionalUnit,3,FALSE)</f>
        <v>#N/A</v>
      </c>
      <c r="F49" s="370" t="e">
        <f>SelectedToolEnvImpactComparionUnit&amp;"/"&amp;E49&amp;" (60 year study period)"</f>
        <v>#N/A</v>
      </c>
      <c r="G49" s="371"/>
      <c r="H49" s="371"/>
      <c r="I49" s="371"/>
      <c r="J49" s="371"/>
      <c r="K49" s="371"/>
      <c r="L49" s="371"/>
      <c r="M49" s="372"/>
      <c r="N49" s="383" t="s">
        <v>219</v>
      </c>
      <c r="O49" s="385" t="s">
        <v>242</v>
      </c>
      <c r="P49" s="381" t="s">
        <v>76</v>
      </c>
      <c r="Q49" s="214"/>
      <c r="S49" s="249" t="s">
        <v>245</v>
      </c>
    </row>
    <row r="50" spans="1:19" s="204" customFormat="1" ht="28.9" customHeight="1" x14ac:dyDescent="0.25">
      <c r="A50" s="203"/>
      <c r="B50" s="233" t="s">
        <v>4</v>
      </c>
      <c r="C50" s="234" t="s">
        <v>5</v>
      </c>
      <c r="D50" s="364"/>
      <c r="E50" s="364"/>
      <c r="F50" s="235" t="str">
        <f>Classification!$C$3</f>
        <v>2.1 Frame</v>
      </c>
      <c r="G50" s="235" t="str">
        <f>Classification!$C$4</f>
        <v>2.2 Upper floors</v>
      </c>
      <c r="H50" s="235" t="str">
        <f>Classification!$C$5</f>
        <v>2.3 Roof</v>
      </c>
      <c r="I50" s="235" t="str">
        <f>Classification!$C$6</f>
        <v>2.4 Stairs and ramps</v>
      </c>
      <c r="J50" s="235" t="str">
        <f>Classification!$C$7</f>
        <v>2.5 External walls</v>
      </c>
      <c r="K50" s="235" t="str">
        <f>Classification!$C$8</f>
        <v>2.6 Windows and external doors</v>
      </c>
      <c r="L50" s="235" t="str">
        <f>Classification!$C$9</f>
        <v>2.7 Internal walls and partitions</v>
      </c>
      <c r="M50" s="235" t="s">
        <v>11</v>
      </c>
      <c r="N50" s="384"/>
      <c r="O50" s="363"/>
      <c r="P50" s="381"/>
      <c r="Q50" s="214"/>
      <c r="S50" s="249"/>
    </row>
    <row r="51" spans="1:19" s="256" customFormat="1" ht="30" customHeight="1" x14ac:dyDescent="0.25">
      <c r="A51" s="203"/>
      <c r="B51" s="250">
        <v>1</v>
      </c>
      <c r="C51" s="236" t="s">
        <v>55</v>
      </c>
      <c r="D51" s="251" t="s">
        <v>7</v>
      </c>
      <c r="E51" s="252">
        <f>J12</f>
        <v>1</v>
      </c>
      <c r="F51" s="239" t="e">
        <v>#N/A</v>
      </c>
      <c r="G51" s="239" t="e">
        <v>#N/A</v>
      </c>
      <c r="H51" s="239" t="e">
        <v>#N/A</v>
      </c>
      <c r="I51" s="239" t="e">
        <v>#N/A</v>
      </c>
      <c r="J51" s="239" t="e">
        <v>#N/A</v>
      </c>
      <c r="K51" s="239" t="e">
        <v>#N/A</v>
      </c>
      <c r="L51" s="239" t="e">
        <v>#N/A</v>
      </c>
      <c r="M51" s="253" t="e">
        <f>SUM(F51:L51)</f>
        <v>#N/A</v>
      </c>
      <c r="N51" s="254" t="s">
        <v>82</v>
      </c>
      <c r="O51" s="327" t="str">
        <f>InteractiveReadyReckoner!J26</f>
        <v>CHOSEN OPTION</v>
      </c>
      <c r="P51" s="328" t="str">
        <f>InteractiveReadyReckoner!L26</f>
        <v>No</v>
      </c>
      <c r="Q51" s="255"/>
      <c r="S51" s="257" t="str">
        <f t="shared" ref="S51:S54" si="1">O51&amp;P51</f>
        <v>CHOSEN OPTIONNo</v>
      </c>
    </row>
    <row r="52" spans="1:19" s="256" customFormat="1" ht="30" customHeight="1" x14ac:dyDescent="0.25">
      <c r="A52" s="203"/>
      <c r="B52" s="236">
        <v>2</v>
      </c>
      <c r="C52" s="236" t="s">
        <v>56</v>
      </c>
      <c r="D52" s="237" t="s">
        <v>7</v>
      </c>
      <c r="E52" s="238">
        <f>E51</f>
        <v>1</v>
      </c>
      <c r="F52" s="239" t="e">
        <v>#N/A</v>
      </c>
      <c r="G52" s="239" t="e">
        <v>#N/A</v>
      </c>
      <c r="H52" s="239" t="e">
        <v>#N/A</v>
      </c>
      <c r="I52" s="239" t="e">
        <v>#N/A</v>
      </c>
      <c r="J52" s="239" t="e">
        <v>#N/A</v>
      </c>
      <c r="K52" s="239" t="e">
        <v>#N/A</v>
      </c>
      <c r="L52" s="239" t="e">
        <v>#N/A</v>
      </c>
      <c r="M52" s="239" t="e">
        <f>SUM(F52:L52)</f>
        <v>#N/A</v>
      </c>
      <c r="N52" s="258" t="s">
        <v>7</v>
      </c>
      <c r="O52" s="352" t="str">
        <f>InteractiveReadyReckoner!J27</f>
        <v>Capital cost &gt;0% and =&lt;10% more than lowest option</v>
      </c>
      <c r="P52" s="328" t="str">
        <f>InteractiveReadyReckoner!L27</f>
        <v>No</v>
      </c>
      <c r="Q52" s="255"/>
      <c r="S52" s="257" t="str">
        <f t="shared" si="1"/>
        <v>Capital cost &gt;0% and =&lt;10% more than lowest optionNo</v>
      </c>
    </row>
    <row r="53" spans="1:19" s="256" customFormat="1" ht="30" customHeight="1" x14ac:dyDescent="0.25">
      <c r="A53" s="203"/>
      <c r="B53" s="236">
        <v>3</v>
      </c>
      <c r="C53" s="236" t="s">
        <v>57</v>
      </c>
      <c r="D53" s="237" t="s">
        <v>7</v>
      </c>
      <c r="E53" s="238">
        <f>E51</f>
        <v>1</v>
      </c>
      <c r="F53" s="239" t="e">
        <v>#N/A</v>
      </c>
      <c r="G53" s="239" t="e">
        <v>#N/A</v>
      </c>
      <c r="H53" s="239" t="e">
        <v>#N/A</v>
      </c>
      <c r="I53" s="239" t="e">
        <v>#N/A</v>
      </c>
      <c r="J53" s="239" t="e">
        <v>#N/A</v>
      </c>
      <c r="K53" s="239" t="e">
        <v>#N/A</v>
      </c>
      <c r="L53" s="239" t="e">
        <v>#N/A</v>
      </c>
      <c r="M53" s="239" t="e">
        <f>SUM(F53:L53)</f>
        <v>#N/A</v>
      </c>
      <c r="N53" s="258" t="s">
        <v>7</v>
      </c>
      <c r="O53" s="352" t="str">
        <f>InteractiveReadyReckoner!J28</f>
        <v>Capital cost &gt;0% and =&lt;10% more than lowest option</v>
      </c>
      <c r="P53" s="328" t="str">
        <f>InteractiveReadyReckoner!L28</f>
        <v>No</v>
      </c>
      <c r="Q53" s="255"/>
      <c r="S53" s="257" t="str">
        <f t="shared" si="1"/>
        <v>Capital cost &gt;0% and =&lt;10% more than lowest optionNo</v>
      </c>
    </row>
    <row r="54" spans="1:19" s="256" customFormat="1" ht="30" customHeight="1" x14ac:dyDescent="0.25">
      <c r="A54" s="203"/>
      <c r="B54" s="236">
        <v>4</v>
      </c>
      <c r="C54" s="236" t="s">
        <v>58</v>
      </c>
      <c r="D54" s="237" t="s">
        <v>7</v>
      </c>
      <c r="E54" s="238">
        <f>E51</f>
        <v>1</v>
      </c>
      <c r="F54" s="239" t="e">
        <v>#N/A</v>
      </c>
      <c r="G54" s="239" t="e">
        <v>#N/A</v>
      </c>
      <c r="H54" s="239" t="e">
        <v>#N/A</v>
      </c>
      <c r="I54" s="239" t="e">
        <v>#N/A</v>
      </c>
      <c r="J54" s="239" t="e">
        <v>#N/A</v>
      </c>
      <c r="K54" s="239" t="e">
        <v>#N/A</v>
      </c>
      <c r="L54" s="239" t="e">
        <v>#N/A</v>
      </c>
      <c r="M54" s="239" t="e">
        <f>SUM(F54:L54)</f>
        <v>#N/A</v>
      </c>
      <c r="N54" s="258" t="s">
        <v>7</v>
      </c>
      <c r="O54" s="352" t="str">
        <f>InteractiveReadyReckoner!J29</f>
        <v>Capital cost &gt;0% and =&lt;10% more than lowest option</v>
      </c>
      <c r="P54" s="328" t="str">
        <f>InteractiveReadyReckoner!L29</f>
        <v>No</v>
      </c>
      <c r="Q54" s="255"/>
      <c r="S54" s="257" t="str">
        <f t="shared" si="1"/>
        <v>Capital cost &gt;0% and =&lt;10% more than lowest optionNo</v>
      </c>
    </row>
    <row r="55" spans="1:19" s="197" customFormat="1" ht="16.149999999999999" customHeight="1" x14ac:dyDescent="0.25">
      <c r="A55" s="203" t="str">
        <f>IF(B55&lt;&gt;"",1,"")</f>
        <v/>
      </c>
      <c r="B55" s="259" t="str">
        <f>IF(J19="Yes",IF(OR(AND(P51&lt;&gt;"No",O51=""),AND(P52&lt;&gt;"No",O52=""),AND(P53&lt;&gt;"No",O53=""),AND(P54&lt;&gt;"No",O54="")),"All options to be indicated 'Yes' or 'No'. Or, the 'Option chosen, and summary reasons for not choosing...' column has not been completed for one or more options indicated as completed ('Yes').",""),"")</f>
        <v/>
      </c>
      <c r="C55" s="259"/>
      <c r="D55" s="260"/>
      <c r="E55" s="261"/>
      <c r="F55" s="261"/>
      <c r="G55" s="261"/>
      <c r="H55" s="261"/>
      <c r="I55" s="261"/>
      <c r="J55" s="261"/>
      <c r="K55" s="261"/>
      <c r="L55" s="261"/>
      <c r="M55" s="261"/>
      <c r="N55" s="262"/>
      <c r="R55" s="256"/>
    </row>
    <row r="56" spans="1:19" s="197" customFormat="1" ht="16.149999999999999" customHeight="1" x14ac:dyDescent="0.25">
      <c r="A56" s="203" t="str">
        <f>IF(B56&lt;&gt;"",1,"")</f>
        <v/>
      </c>
      <c r="B56" s="259" t="str">
        <f>IF(J19="Yes",IF(OR(COUNTIF(S51:S54,"CHOSEN OPTIONYes")&lt;&gt;1,COUNTIF(O51:O54,"CHOSEN OPTION")&lt;&gt;1),"One option indicated as complete must be selected as the 'CHOSEN OPTION'",""),"")</f>
        <v/>
      </c>
      <c r="C56" s="259"/>
      <c r="D56" s="260"/>
      <c r="E56" s="261"/>
      <c r="F56" s="261"/>
      <c r="G56" s="261"/>
      <c r="H56" s="261"/>
      <c r="I56" s="261"/>
      <c r="J56" s="261"/>
      <c r="K56" s="261"/>
      <c r="L56" s="261"/>
      <c r="M56" s="261"/>
      <c r="N56" s="262"/>
      <c r="R56" s="256"/>
    </row>
    <row r="57" spans="1:19" s="197" customFormat="1" ht="16.149999999999999" customHeight="1" x14ac:dyDescent="0.25">
      <c r="A57" s="203"/>
      <c r="B57" s="263"/>
      <c r="C57" s="263"/>
      <c r="D57" s="264"/>
      <c r="E57" s="265"/>
      <c r="N57" s="266"/>
    </row>
    <row r="58" spans="1:19" s="197" customFormat="1" ht="16.149999999999999" customHeight="1" x14ac:dyDescent="0.25">
      <c r="A58" s="203"/>
      <c r="B58" s="210" t="s">
        <v>247</v>
      </c>
      <c r="C58" s="221"/>
      <c r="D58" s="220"/>
      <c r="E58" s="221"/>
      <c r="F58" s="221"/>
      <c r="G58" s="221"/>
      <c r="H58" s="221"/>
      <c r="I58" s="221"/>
      <c r="J58" s="387" t="str">
        <f>IFERROR(INDEX(RIBAStage2Options,MATCH("CHOSEN OPTIONYes",S51:S54,0)),"")</f>
        <v/>
      </c>
      <c r="K58" s="388"/>
      <c r="L58" s="388"/>
      <c r="M58" s="388"/>
      <c r="N58" s="389"/>
      <c r="R58" s="256"/>
    </row>
    <row r="59" spans="1:19" s="197" customFormat="1" ht="16.149999999999999" customHeight="1" x14ac:dyDescent="0.25">
      <c r="A59" s="203"/>
      <c r="B59" s="210" t="str">
        <f>IF(SelectedToolBM&lt;&gt;"","Is option ID '"&amp;J58&amp;"' the same as ID 'B1' submitted for 'Superstructure - Comparison with the BREEAM benchmark' above?'","Question n/a - leave blank.")</f>
        <v>Question n/a - leave blank.</v>
      </c>
      <c r="C59" s="221"/>
      <c r="D59" s="220"/>
      <c r="E59" s="221"/>
      <c r="F59" s="221"/>
      <c r="G59" s="221"/>
      <c r="H59" s="221"/>
      <c r="I59" s="221"/>
      <c r="J59" s="360" t="str">
        <f>InteractiveReadyReckoner!L30</f>
        <v>Yes</v>
      </c>
      <c r="K59" s="360"/>
      <c r="L59" s="360"/>
      <c r="M59" s="360"/>
      <c r="N59" s="360"/>
      <c r="R59" s="256"/>
    </row>
    <row r="60" spans="1:19" s="197" customFormat="1" ht="16.149999999999999" customHeight="1" x14ac:dyDescent="0.25">
      <c r="A60" s="203" t="str">
        <f>IF(B60&lt;&gt;"",1,"")</f>
        <v/>
      </c>
      <c r="B60" s="259" t="str">
        <f>IF(AND(SelectedToolBM&lt;&gt;"",J58&lt;&gt;""),IF(AND(S60=1,J40&lt;&gt;VLOOKUP(J58,B51:M54,12,FALSE)),"The 'CHOSEN OPTION' submission results do not match the 'Superstructure - Comparison with the BREEAM benchmark' (ID 'B1') submission.",IF(J59&lt;&gt;"yes","The option selected as the 'CHOSEN OPTION' must be the same as the option assessed for 'Superstructure - Comparison with the BREEAM benchmark' (ID 'B1').","")),"")</f>
        <v/>
      </c>
      <c r="C60" s="259"/>
      <c r="D60" s="260"/>
      <c r="E60" s="261"/>
      <c r="F60" s="261"/>
      <c r="G60" s="261"/>
      <c r="H60" s="261"/>
      <c r="I60" s="261"/>
      <c r="J60" s="261"/>
      <c r="K60" s="261"/>
      <c r="L60" s="261"/>
      <c r="M60" s="261"/>
      <c r="N60" s="262"/>
      <c r="R60" s="256"/>
      <c r="S60" s="261">
        <f>IF(ISNUMBER(MATCH(SelectedToolOA,RecognisedToolsBM,0)),1,0)</f>
        <v>1</v>
      </c>
    </row>
    <row r="61" spans="1:19" s="197" customFormat="1" ht="16.149999999999999" customHeight="1" x14ac:dyDescent="0.25">
      <c r="A61" s="203"/>
      <c r="B61" s="263"/>
      <c r="N61" s="266"/>
    </row>
    <row r="62" spans="1:19" s="197" customFormat="1" ht="16.149999999999999" customHeight="1" x14ac:dyDescent="0.25">
      <c r="A62" s="203"/>
      <c r="B62" s="267" t="s">
        <v>38</v>
      </c>
      <c r="C62" s="221"/>
      <c r="D62" s="268"/>
      <c r="E62" s="221"/>
      <c r="F62" s="221"/>
      <c r="G62" s="221"/>
      <c r="H62" s="221"/>
      <c r="I62" s="221"/>
      <c r="J62" s="365">
        <f>COUNTIF(P51:P54,"yes")</f>
        <v>0</v>
      </c>
      <c r="K62" s="366"/>
      <c r="L62" s="366"/>
      <c r="M62" s="366"/>
      <c r="N62" s="367"/>
      <c r="R62" s="256"/>
    </row>
    <row r="63" spans="1:19" s="197" customFormat="1" ht="16.149999999999999" customHeight="1" x14ac:dyDescent="0.25">
      <c r="A63" s="203"/>
      <c r="B63" s="269" t="s">
        <v>43</v>
      </c>
      <c r="C63" s="221"/>
      <c r="D63" s="241"/>
      <c r="E63" s="241"/>
      <c r="F63" s="241"/>
      <c r="G63" s="241"/>
      <c r="H63" s="241"/>
      <c r="I63" s="241"/>
      <c r="J63" s="390" t="str">
        <f ca="1">IF(AND(J19="Yes",B4=""),IF(J62&gt;=1,VLOOKUP($J$23,IF(SelectedToolBM="",CreditsS2NoBM,CreditsS2BM),1+COUNTIF(P51:P54,"yes"),FALSE),"--"),"--")</f>
        <v>--</v>
      </c>
      <c r="K63" s="391"/>
      <c r="L63" s="391"/>
      <c r="M63" s="391"/>
      <c r="N63" s="392"/>
      <c r="R63" s="256"/>
    </row>
    <row r="64" spans="1:19" s="197" customFormat="1" ht="16.149999999999999" customHeight="1" x14ac:dyDescent="0.25">
      <c r="A64" s="203"/>
      <c r="B64" s="270"/>
      <c r="C64" s="229"/>
      <c r="D64" s="229"/>
      <c r="E64" s="229"/>
      <c r="F64" s="229"/>
      <c r="G64" s="229"/>
      <c r="H64" s="229"/>
      <c r="J64" s="271"/>
      <c r="K64" s="271"/>
      <c r="N64" s="266"/>
    </row>
    <row r="65" spans="1:19" s="204" customFormat="1" ht="21.75" thickBot="1" x14ac:dyDescent="0.3">
      <c r="A65" s="203"/>
      <c r="B65" s="369" t="s">
        <v>46</v>
      </c>
      <c r="C65" s="369"/>
      <c r="D65" s="369"/>
      <c r="E65" s="369"/>
      <c r="F65" s="369"/>
      <c r="G65" s="369"/>
      <c r="H65" s="369"/>
      <c r="I65" s="369"/>
      <c r="J65" s="245"/>
      <c r="K65" s="245"/>
      <c r="L65" s="245"/>
      <c r="M65" s="245"/>
      <c r="N65" s="245"/>
      <c r="O65" s="245"/>
      <c r="P65" s="246"/>
      <c r="Q65" s="214"/>
    </row>
    <row r="66" spans="1:19" s="197" customFormat="1" ht="16.149999999999999" customHeight="1" x14ac:dyDescent="0.25">
      <c r="A66" s="203"/>
      <c r="B66" s="270"/>
      <c r="C66" s="229"/>
      <c r="D66" s="229"/>
      <c r="E66" s="229"/>
      <c r="F66" s="229"/>
      <c r="G66" s="229"/>
      <c r="H66" s="229"/>
      <c r="J66" s="271"/>
      <c r="K66" s="271"/>
      <c r="N66" s="266"/>
    </row>
    <row r="67" spans="1:19" s="204" customFormat="1" ht="16.149999999999999" customHeight="1" x14ac:dyDescent="0.25">
      <c r="A67" s="203"/>
      <c r="B67" s="272" t="str">
        <f>IF(J20="Yes",
"Complete rows 'ID 5' to 'ID 10' in the following table. The completed data files shall be saved in the same folder as this file.","Substructure and hard landscaping options appraisal not done. This section shall be left blank. The uncompleted data files shall still be saved in the same folder as this file.")</f>
        <v>Substructure and hard landscaping options appraisal not done. This section shall be left blank. The uncompleted data files shall still be saved in the same folder as this file.</v>
      </c>
      <c r="C67" s="273"/>
      <c r="D67" s="249"/>
      <c r="E67" s="249"/>
      <c r="F67" s="249"/>
      <c r="G67" s="249"/>
      <c r="H67" s="249"/>
      <c r="I67" s="249"/>
      <c r="J67" s="261"/>
      <c r="K67" s="261"/>
      <c r="L67" s="261"/>
      <c r="M67" s="261"/>
      <c r="N67" s="261"/>
      <c r="O67" s="197"/>
      <c r="P67" s="214"/>
      <c r="Q67" s="214"/>
    </row>
    <row r="68" spans="1:19" s="204" customFormat="1" ht="16.149999999999999" customHeight="1" x14ac:dyDescent="0.25">
      <c r="A68" s="203" t="str">
        <f>IF(B68&lt;&gt;"",1,"")</f>
        <v/>
      </c>
      <c r="B68" s="259" t="str">
        <f>IF(J20="Yes",
IF(J25="No","Tool not suitable for substructure and hard landscaping options appraisal",""),"")</f>
        <v/>
      </c>
      <c r="C68" s="259"/>
      <c r="D68" s="249"/>
      <c r="E68" s="249"/>
      <c r="F68" s="249"/>
      <c r="G68" s="249"/>
      <c r="H68" s="249"/>
      <c r="I68" s="249"/>
      <c r="J68" s="261"/>
      <c r="K68" s="261"/>
      <c r="L68" s="261"/>
      <c r="M68" s="261"/>
      <c r="N68" s="261"/>
      <c r="O68" s="197"/>
      <c r="P68" s="214"/>
      <c r="Q68" s="214"/>
    </row>
    <row r="69" spans="1:19" s="204" customFormat="1" ht="18" customHeight="1" x14ac:dyDescent="0.35">
      <c r="A69" s="203"/>
      <c r="B69" s="247"/>
      <c r="J69" s="248"/>
      <c r="K69" s="214"/>
      <c r="L69" s="214"/>
      <c r="M69" s="214"/>
      <c r="N69" s="214"/>
      <c r="O69" s="214"/>
      <c r="Q69" s="214"/>
    </row>
    <row r="70" spans="1:19" s="204" customFormat="1" ht="72" customHeight="1" x14ac:dyDescent="0.25">
      <c r="A70" s="203"/>
      <c r="B70" s="361" t="s">
        <v>6</v>
      </c>
      <c r="C70" s="362"/>
      <c r="D70" s="363" t="s">
        <v>75</v>
      </c>
      <c r="E70" s="363" t="e">
        <f>VLOOKUP($J$10,FunctionalUnit,3,FALSE)</f>
        <v>#N/A</v>
      </c>
      <c r="F70" s="370" t="e">
        <f>SelectedToolEnvImpactComparionUnit&amp;"/"&amp;E70&amp;" (60 year study period)"</f>
        <v>#N/A</v>
      </c>
      <c r="G70" s="371"/>
      <c r="H70" s="371"/>
      <c r="I70" s="371"/>
      <c r="J70" s="371"/>
      <c r="K70" s="371"/>
      <c r="L70" s="371"/>
      <c r="M70" s="372"/>
      <c r="N70" s="383" t="s">
        <v>219</v>
      </c>
      <c r="O70" s="385" t="s">
        <v>242</v>
      </c>
      <c r="P70" s="381" t="s">
        <v>76</v>
      </c>
      <c r="Q70" s="214"/>
      <c r="R70" s="197"/>
      <c r="S70" s="249" t="s">
        <v>245</v>
      </c>
    </row>
    <row r="71" spans="1:19" s="204" customFormat="1" ht="30" x14ac:dyDescent="0.25">
      <c r="A71" s="203"/>
      <c r="B71" s="233" t="s">
        <v>4</v>
      </c>
      <c r="C71" s="234" t="s">
        <v>5</v>
      </c>
      <c r="D71" s="364"/>
      <c r="E71" s="364"/>
      <c r="F71" s="235" t="str">
        <f>Classification!C10</f>
        <v>1.0 Substructure</v>
      </c>
      <c r="G71" s="274" t="str">
        <f>Classification!C11</f>
        <v>8.2 Roads, paths and pavings</v>
      </c>
      <c r="H71" s="274" t="s">
        <v>9</v>
      </c>
      <c r="I71" s="274" t="s">
        <v>9</v>
      </c>
      <c r="J71" s="274" t="s">
        <v>9</v>
      </c>
      <c r="K71" s="274" t="s">
        <v>9</v>
      </c>
      <c r="L71" s="274" t="s">
        <v>9</v>
      </c>
      <c r="M71" s="235" t="s">
        <v>11</v>
      </c>
      <c r="N71" s="384"/>
      <c r="O71" s="363"/>
      <c r="P71" s="381"/>
      <c r="Q71" s="214"/>
      <c r="R71" s="197"/>
      <c r="S71" s="249"/>
    </row>
    <row r="72" spans="1:19" s="256" customFormat="1" ht="30" customHeight="1" x14ac:dyDescent="0.25">
      <c r="A72" s="203"/>
      <c r="B72" s="236">
        <v>5</v>
      </c>
      <c r="C72" s="236" t="s">
        <v>62</v>
      </c>
      <c r="D72" s="237" t="s">
        <v>7</v>
      </c>
      <c r="E72" s="238">
        <f>$J$12</f>
        <v>1</v>
      </c>
      <c r="F72" s="239" t="e">
        <v>#DIV/0!</v>
      </c>
      <c r="G72" s="239" t="e">
        <v>#DIV/0!</v>
      </c>
      <c r="H72" s="239"/>
      <c r="I72" s="239"/>
      <c r="J72" s="239"/>
      <c r="K72" s="239"/>
      <c r="L72" s="239"/>
      <c r="M72" s="239" t="e">
        <f t="shared" ref="M72:M77" si="2">SUM(F72:L72)</f>
        <v>#DIV/0!</v>
      </c>
      <c r="N72" s="254" t="s">
        <v>78</v>
      </c>
      <c r="O72" s="327" t="str">
        <f>InteractiveReadyReckoner!J32</f>
        <v>CHOSEN OPTION</v>
      </c>
      <c r="P72" s="328" t="str">
        <f>InteractiveReadyReckoner!L32</f>
        <v>Yes - Substructure</v>
      </c>
      <c r="Q72" s="255"/>
      <c r="R72" s="197"/>
      <c r="S72" s="257" t="str">
        <f>O72&amp;P72</f>
        <v>CHOSEN OPTIONYes - Substructure</v>
      </c>
    </row>
    <row r="73" spans="1:19" s="256" customFormat="1" ht="30" customHeight="1" x14ac:dyDescent="0.25">
      <c r="A73" s="203"/>
      <c r="B73" s="275">
        <v>6</v>
      </c>
      <c r="C73" s="236" t="s">
        <v>63</v>
      </c>
      <c r="D73" s="276" t="s">
        <v>7</v>
      </c>
      <c r="E73" s="277">
        <f>E72</f>
        <v>1</v>
      </c>
      <c r="F73" s="239" t="e">
        <v>#DIV/0!</v>
      </c>
      <c r="G73" s="239" t="e">
        <v>#DIV/0!</v>
      </c>
      <c r="H73" s="239"/>
      <c r="I73" s="239"/>
      <c r="J73" s="239"/>
      <c r="K73" s="239"/>
      <c r="L73" s="239"/>
      <c r="M73" s="278" t="e">
        <f t="shared" si="2"/>
        <v>#DIV/0!</v>
      </c>
      <c r="N73" s="254" t="s">
        <v>79</v>
      </c>
      <c r="O73" s="352" t="str">
        <f>InteractiveReadyReckoner!J33</f>
        <v>CHOSEN OPTION</v>
      </c>
      <c r="P73" s="328" t="str">
        <f>InteractiveReadyReckoner!L33</f>
        <v>Yes - Hard landscaping</v>
      </c>
      <c r="Q73" s="255"/>
      <c r="R73" s="197"/>
      <c r="S73" s="257" t="str">
        <f t="shared" ref="S73:S77" si="3">O73&amp;P73</f>
        <v>CHOSEN OPTIONYes - Hard landscaping</v>
      </c>
    </row>
    <row r="74" spans="1:19" s="256" customFormat="1" ht="30" customHeight="1" x14ac:dyDescent="0.25">
      <c r="A74" s="203"/>
      <c r="B74" s="250">
        <v>7</v>
      </c>
      <c r="C74" s="236" t="s">
        <v>64</v>
      </c>
      <c r="D74" s="251" t="s">
        <v>7</v>
      </c>
      <c r="E74" s="252">
        <f>E72</f>
        <v>1</v>
      </c>
      <c r="F74" s="239" t="e">
        <v>#DIV/0!</v>
      </c>
      <c r="G74" s="239" t="e">
        <v>#DIV/0!</v>
      </c>
      <c r="H74" s="239"/>
      <c r="I74" s="239"/>
      <c r="J74" s="239"/>
      <c r="K74" s="239"/>
      <c r="L74" s="239"/>
      <c r="M74" s="253" t="e">
        <f t="shared" si="2"/>
        <v>#DIV/0!</v>
      </c>
      <c r="N74" s="258" t="s">
        <v>7</v>
      </c>
      <c r="O74" s="352" t="str">
        <f>InteractiveReadyReckoner!J34</f>
        <v>Other</v>
      </c>
      <c r="P74" s="328" t="str">
        <f>InteractiveReadyReckoner!L34</f>
        <v>Yes - Substructure</v>
      </c>
      <c r="Q74" s="255"/>
      <c r="R74" s="197"/>
      <c r="S74" s="257" t="str">
        <f t="shared" si="3"/>
        <v>OtherYes - Substructure</v>
      </c>
    </row>
    <row r="75" spans="1:19" s="256" customFormat="1" ht="30" customHeight="1" x14ac:dyDescent="0.25">
      <c r="A75" s="203"/>
      <c r="B75" s="236">
        <v>8</v>
      </c>
      <c r="C75" s="236" t="s">
        <v>65</v>
      </c>
      <c r="D75" s="237" t="s">
        <v>7</v>
      </c>
      <c r="E75" s="238">
        <f>$J$12</f>
        <v>1</v>
      </c>
      <c r="F75" s="239" t="e">
        <v>#DIV/0!</v>
      </c>
      <c r="G75" s="239" t="e">
        <v>#DIV/0!</v>
      </c>
      <c r="H75" s="239"/>
      <c r="I75" s="239"/>
      <c r="J75" s="239"/>
      <c r="K75" s="239"/>
      <c r="L75" s="239"/>
      <c r="M75" s="239" t="e">
        <f t="shared" si="2"/>
        <v>#DIV/0!</v>
      </c>
      <c r="N75" s="258" t="s">
        <v>7</v>
      </c>
      <c r="O75" s="352" t="str">
        <f>InteractiveReadyReckoner!J35</f>
        <v>Other</v>
      </c>
      <c r="P75" s="328" t="str">
        <f>InteractiveReadyReckoner!L35</f>
        <v>Yes - Substructure</v>
      </c>
      <c r="Q75" s="255"/>
      <c r="R75" s="197"/>
      <c r="S75" s="257" t="str">
        <f t="shared" si="3"/>
        <v>OtherYes - Substructure</v>
      </c>
    </row>
    <row r="76" spans="1:19" s="256" customFormat="1" ht="30" customHeight="1" x14ac:dyDescent="0.25">
      <c r="A76" s="203"/>
      <c r="B76" s="275">
        <v>9</v>
      </c>
      <c r="C76" s="236" t="s">
        <v>66</v>
      </c>
      <c r="D76" s="276" t="s">
        <v>7</v>
      </c>
      <c r="E76" s="277">
        <f>E75</f>
        <v>1</v>
      </c>
      <c r="F76" s="239" t="e">
        <v>#DIV/0!</v>
      </c>
      <c r="G76" s="239" t="e">
        <v>#DIV/0!</v>
      </c>
      <c r="H76" s="239"/>
      <c r="I76" s="239"/>
      <c r="J76" s="239"/>
      <c r="K76" s="239"/>
      <c r="L76" s="239"/>
      <c r="M76" s="278" t="e">
        <f t="shared" si="2"/>
        <v>#DIV/0!</v>
      </c>
      <c r="N76" s="258" t="s">
        <v>7</v>
      </c>
      <c r="O76" s="352" t="str">
        <f>InteractiveReadyReckoner!J36</f>
        <v>Other</v>
      </c>
      <c r="P76" s="328" t="str">
        <f>InteractiveReadyReckoner!L36</f>
        <v>Yes - Hard landscaping</v>
      </c>
      <c r="Q76" s="255"/>
      <c r="R76" s="197"/>
      <c r="S76" s="257" t="str">
        <f t="shared" si="3"/>
        <v>OtherYes - Hard landscaping</v>
      </c>
    </row>
    <row r="77" spans="1:19" s="256" customFormat="1" ht="30" customHeight="1" x14ac:dyDescent="0.25">
      <c r="A77" s="203"/>
      <c r="B77" s="236">
        <v>10</v>
      </c>
      <c r="C77" s="236" t="s">
        <v>67</v>
      </c>
      <c r="D77" s="237" t="s">
        <v>7</v>
      </c>
      <c r="E77" s="238">
        <f>E75</f>
        <v>1</v>
      </c>
      <c r="F77" s="239" t="e">
        <v>#DIV/0!</v>
      </c>
      <c r="G77" s="239" t="e">
        <v>#DIV/0!</v>
      </c>
      <c r="H77" s="239"/>
      <c r="I77" s="239"/>
      <c r="J77" s="239"/>
      <c r="K77" s="239"/>
      <c r="L77" s="239"/>
      <c r="M77" s="239" t="e">
        <f t="shared" si="2"/>
        <v>#DIV/0!</v>
      </c>
      <c r="N77" s="258" t="s">
        <v>7</v>
      </c>
      <c r="O77" s="352" t="str">
        <f>InteractiveReadyReckoner!J37</f>
        <v>Other</v>
      </c>
      <c r="P77" s="328" t="str">
        <f>InteractiveReadyReckoner!L37</f>
        <v>Yes - Hard landscaping</v>
      </c>
      <c r="Q77" s="255"/>
      <c r="R77" s="197"/>
      <c r="S77" s="257" t="str">
        <f t="shared" si="3"/>
        <v>OtherYes - Hard landscaping</v>
      </c>
    </row>
    <row r="78" spans="1:19" s="197" customFormat="1" ht="16.149999999999999" customHeight="1" x14ac:dyDescent="0.25">
      <c r="A78" s="203" t="str">
        <f>IF(B78&lt;&gt;"",1,"")</f>
        <v/>
      </c>
      <c r="B78" s="259" t="str">
        <f>IF(J20="Yes",IF(OR((COUNTIF(P72:P77,"Yes - substructure")+COUNTIF(P72:P77,"Yes - hard landscaping"))&lt;6,COUNTIF(P72:P77,"Yes - Substructure")&lt;2,COUNTIF(P72:P77,"Yes - Hard Landscaping")&lt;2),"At least 6 options are required. At least 2 must be substructure and at least 2 must be hard landscaping.",""),"")</f>
        <v/>
      </c>
      <c r="C78" s="260"/>
      <c r="D78" s="260"/>
      <c r="E78" s="261"/>
      <c r="F78" s="261"/>
      <c r="G78" s="261"/>
      <c r="H78" s="261"/>
      <c r="I78" s="261"/>
      <c r="J78" s="261"/>
      <c r="K78" s="261"/>
      <c r="L78" s="261"/>
      <c r="M78" s="261"/>
      <c r="N78" s="262"/>
    </row>
    <row r="79" spans="1:19" s="197" customFormat="1" ht="16.149999999999999" customHeight="1" x14ac:dyDescent="0.25">
      <c r="A79" s="203" t="str">
        <f>IF(B79&lt;&gt;"",1,"")</f>
        <v/>
      </c>
      <c r="B79" s="259" t="str">
        <f>IF(J20="Yes",IF(OR(AND(P72&lt;&gt;"No",O72=""),AND(P73&lt;&gt;"No",O73=""),AND(P74&lt;&gt;"No",O74=""),AND(P75&lt;&gt;"No",O75=""),AND(P76&lt;&gt;"No",O76=""),AND(P77&lt;&gt;"No",O77="")),"All options to be indicated 'Yes' or 'No'. Or, the 'Option chosen, and summary reasons for not choosing...' column has not been completed for one or more options indicated as completed ('Yes').",""),"")</f>
        <v/>
      </c>
      <c r="C79" s="259"/>
      <c r="D79" s="260"/>
      <c r="E79" s="261"/>
      <c r="F79" s="261"/>
      <c r="G79" s="261"/>
      <c r="H79" s="261"/>
      <c r="I79" s="261"/>
      <c r="J79" s="261"/>
      <c r="K79" s="261"/>
      <c r="L79" s="261"/>
      <c r="M79" s="261"/>
      <c r="N79" s="262"/>
      <c r="R79" s="256"/>
    </row>
    <row r="80" spans="1:19" s="197" customFormat="1" ht="16.149999999999999" customHeight="1" x14ac:dyDescent="0.25">
      <c r="A80" s="203" t="str">
        <f>IF(B80&lt;&gt;"",1,"")</f>
        <v/>
      </c>
      <c r="B80" s="259" t="str">
        <f>IF(J20="Yes",IF(OR(COUNTIF(S72:S77,"CHOSEN OPTIONYes - Substructure")&lt;&gt;1,COUNTIF(S72:S77,"CHOSEN OPTIONYes - Hard landscaping")&lt;&gt;1,COUNTIF(O72:O77,"CHOSEN OPTION")&lt;&gt;2),"Two options indicated as complete must be selected as the 'CHOSEN OPTION' - one for substructure and one for hard landscaping.",""),"")</f>
        <v/>
      </c>
      <c r="C80" s="259"/>
      <c r="D80" s="260"/>
      <c r="E80" s="261"/>
      <c r="F80" s="261"/>
      <c r="G80" s="261"/>
      <c r="H80" s="261"/>
      <c r="I80" s="261"/>
      <c r="J80" s="261"/>
      <c r="K80" s="261"/>
      <c r="L80" s="261"/>
      <c r="M80" s="261"/>
      <c r="N80" s="262"/>
      <c r="R80" s="256"/>
    </row>
    <row r="81" spans="1:19" s="197" customFormat="1" ht="16.149999999999999" customHeight="1" x14ac:dyDescent="0.25">
      <c r="A81" s="203"/>
      <c r="B81" s="270"/>
      <c r="C81" s="229"/>
      <c r="D81" s="229"/>
      <c r="E81" s="229"/>
      <c r="F81" s="229"/>
      <c r="G81" s="229"/>
      <c r="H81" s="229"/>
      <c r="J81" s="271"/>
      <c r="K81" s="271"/>
      <c r="N81" s="266"/>
    </row>
    <row r="82" spans="1:19" s="197" customFormat="1" ht="16.149999999999999" customHeight="1" x14ac:dyDescent="0.25">
      <c r="A82" s="203"/>
      <c r="B82" s="210" t="s">
        <v>247</v>
      </c>
      <c r="C82" s="221"/>
      <c r="D82" s="220"/>
      <c r="E82" s="221"/>
      <c r="F82" s="221"/>
      <c r="G82" s="221"/>
      <c r="H82" s="221"/>
      <c r="I82" s="221"/>
      <c r="J82" s="365">
        <f>IFERROR(INDEX(RIBAStage2SSandHLOptions,MATCH("CHOSEN OPTIONYes - Substructure",S72:S77,0)),"")</f>
        <v>5</v>
      </c>
      <c r="K82" s="366"/>
      <c r="L82" s="366"/>
      <c r="M82" s="366"/>
      <c r="N82" s="367"/>
    </row>
    <row r="83" spans="1:19" s="197" customFormat="1" ht="16.149999999999999" customHeight="1" x14ac:dyDescent="0.25">
      <c r="A83" s="203"/>
      <c r="B83" s="210" t="s">
        <v>101</v>
      </c>
      <c r="C83" s="279"/>
      <c r="D83" s="280"/>
      <c r="E83" s="211"/>
      <c r="F83" s="211"/>
      <c r="G83" s="211"/>
      <c r="H83" s="211"/>
      <c r="I83" s="211"/>
      <c r="J83" s="365">
        <f>IFERROR(INDEX(RIBAStage2SSandHLOptions,MATCH("CHOSEN OPTIONYes - Hard landscaping",S72:S77,0)),"")</f>
        <v>6</v>
      </c>
      <c r="K83" s="366"/>
      <c r="L83" s="366"/>
      <c r="M83" s="366"/>
      <c r="N83" s="367"/>
    </row>
    <row r="84" spans="1:19" s="197" customFormat="1" ht="16.149999999999999" customHeight="1" x14ac:dyDescent="0.25">
      <c r="A84" s="203"/>
      <c r="B84" s="270"/>
      <c r="N84" s="266"/>
    </row>
    <row r="85" spans="1:19" s="197" customFormat="1" ht="16.149999999999999" customHeight="1" x14ac:dyDescent="0.25">
      <c r="A85" s="203"/>
      <c r="B85" s="269" t="s">
        <v>43</v>
      </c>
      <c r="C85" s="221"/>
      <c r="D85" s="241"/>
      <c r="E85" s="241"/>
      <c r="F85" s="241"/>
      <c r="G85" s="241"/>
      <c r="H85" s="241"/>
      <c r="I85" s="241"/>
      <c r="J85" s="382" t="str">
        <f ca="1">IF(AND(J20="Yes",B4=""),IF(J63&gt;0,1,0),"--")</f>
        <v>--</v>
      </c>
      <c r="K85" s="382"/>
      <c r="L85" s="382"/>
      <c r="M85" s="382"/>
      <c r="N85" s="382"/>
    </row>
    <row r="86" spans="1:19" s="197" customFormat="1" ht="16.149999999999999" customHeight="1" x14ac:dyDescent="0.25">
      <c r="A86" s="203"/>
      <c r="B86" s="270"/>
      <c r="C86" s="229"/>
      <c r="D86" s="229"/>
      <c r="E86" s="229"/>
      <c r="F86" s="229"/>
      <c r="G86" s="229"/>
      <c r="H86" s="229"/>
      <c r="J86" s="271"/>
      <c r="K86" s="271"/>
      <c r="N86" s="266"/>
    </row>
    <row r="87" spans="1:19" s="204" customFormat="1" ht="21.75" thickBot="1" x14ac:dyDescent="0.3">
      <c r="A87" s="203"/>
      <c r="B87" s="369" t="s">
        <v>103</v>
      </c>
      <c r="C87" s="369"/>
      <c r="D87" s="369"/>
      <c r="E87" s="369"/>
      <c r="F87" s="369"/>
      <c r="G87" s="369"/>
      <c r="H87" s="369"/>
      <c r="I87" s="369"/>
      <c r="J87" s="245"/>
      <c r="K87" s="245"/>
      <c r="L87" s="245"/>
      <c r="M87" s="245"/>
      <c r="N87" s="245"/>
      <c r="O87" s="245"/>
      <c r="P87" s="246"/>
      <c r="Q87" s="214"/>
    </row>
    <row r="88" spans="1:19" s="197" customFormat="1" ht="16.149999999999999" customHeight="1" x14ac:dyDescent="0.25">
      <c r="A88" s="203"/>
      <c r="B88" s="270"/>
      <c r="C88" s="229"/>
      <c r="D88" s="229"/>
      <c r="E88" s="229"/>
      <c r="F88" s="229"/>
      <c r="G88" s="229"/>
      <c r="H88" s="229"/>
      <c r="J88" s="271"/>
      <c r="K88" s="271"/>
      <c r="N88" s="266"/>
    </row>
    <row r="89" spans="1:19" s="204" customFormat="1" x14ac:dyDescent="0.25">
      <c r="A89" s="203"/>
      <c r="B89" s="281" t="str">
        <f>IF(J21="Yes",
"Complete rows 'ID 11' to 'ID 13' in the following table. The completed data files shall be saved in the same folder as this file.","Building services options appraisal not done. This section shall be left blank. The uncompleted data files shall still be saved in the same folder as this file.")</f>
        <v>Building services options appraisal not done. This section shall be left blank. The uncompleted data files shall still be saved in the same folder as this file.</v>
      </c>
      <c r="C89" s="249"/>
      <c r="D89" s="249"/>
      <c r="E89" s="249"/>
      <c r="F89" s="249"/>
      <c r="G89" s="249"/>
      <c r="H89" s="249"/>
      <c r="I89" s="249"/>
      <c r="J89" s="261"/>
      <c r="K89" s="261"/>
      <c r="L89" s="261"/>
      <c r="M89" s="261"/>
      <c r="N89" s="261"/>
      <c r="O89" s="197"/>
      <c r="P89" s="214"/>
      <c r="Q89" s="214"/>
      <c r="R89" s="197"/>
    </row>
    <row r="90" spans="1:19" s="204" customFormat="1" x14ac:dyDescent="0.25">
      <c r="A90" s="203" t="str">
        <f>IF(B90&lt;&gt;"",1,"")</f>
        <v/>
      </c>
      <c r="B90" s="259" t="str">
        <f>IF(J21="Yes",
IF(J26="No","Tool not suitable for core building services options appraisal",""),
"")</f>
        <v/>
      </c>
      <c r="C90" s="249"/>
      <c r="D90" s="249"/>
      <c r="E90" s="249"/>
      <c r="F90" s="249"/>
      <c r="G90" s="249"/>
      <c r="H90" s="249"/>
      <c r="I90" s="249"/>
      <c r="J90" s="261"/>
      <c r="K90" s="261"/>
      <c r="L90" s="261"/>
      <c r="M90" s="261"/>
      <c r="N90" s="261"/>
      <c r="O90" s="197"/>
      <c r="P90" s="214"/>
      <c r="Q90" s="214"/>
      <c r="R90" s="197"/>
    </row>
    <row r="91" spans="1:19" s="204" customFormat="1" ht="18" customHeight="1" x14ac:dyDescent="0.35">
      <c r="A91" s="203"/>
      <c r="B91" s="247"/>
      <c r="J91" s="248"/>
      <c r="K91" s="214"/>
      <c r="L91" s="214"/>
      <c r="M91" s="214"/>
      <c r="N91" s="214"/>
      <c r="O91" s="214"/>
      <c r="Q91" s="214"/>
    </row>
    <row r="92" spans="1:19" s="204" customFormat="1" ht="72" customHeight="1" x14ac:dyDescent="0.25">
      <c r="A92" s="203"/>
      <c r="B92" s="361" t="s">
        <v>6</v>
      </c>
      <c r="C92" s="362"/>
      <c r="D92" s="363" t="s">
        <v>75</v>
      </c>
      <c r="E92" s="363" t="e">
        <f>VLOOKUP(J10,FunctionalUnit,3,FALSE)</f>
        <v>#N/A</v>
      </c>
      <c r="F92" s="370" t="e">
        <f>SelectedToolEnvImpactComparionUnit&amp;"/"&amp;E92&amp;" (60 year study period)"</f>
        <v>#N/A</v>
      </c>
      <c r="G92" s="371"/>
      <c r="H92" s="371"/>
      <c r="I92" s="371"/>
      <c r="J92" s="371"/>
      <c r="K92" s="371"/>
      <c r="L92" s="371"/>
      <c r="M92" s="372"/>
      <c r="N92" s="383" t="s">
        <v>219</v>
      </c>
      <c r="O92" s="385" t="s">
        <v>242</v>
      </c>
      <c r="P92" s="381" t="s">
        <v>76</v>
      </c>
      <c r="Q92" s="214"/>
      <c r="R92" s="197"/>
      <c r="S92" s="249" t="s">
        <v>245</v>
      </c>
    </row>
    <row r="93" spans="1:19" s="204" customFormat="1" ht="43.15" customHeight="1" x14ac:dyDescent="0.25">
      <c r="A93" s="203"/>
      <c r="B93" s="233" t="s">
        <v>4</v>
      </c>
      <c r="C93" s="234" t="s">
        <v>5</v>
      </c>
      <c r="D93" s="364"/>
      <c r="E93" s="364"/>
      <c r="F93" s="235" t="str">
        <f>Classification!C12</f>
        <v>5.5.1 Heat source</v>
      </c>
      <c r="G93" s="235" t="str">
        <f>Classification!C13</f>
        <v>5.6 Space Heating and Air Conditioning</v>
      </c>
      <c r="H93" s="235" t="str">
        <f>Classification!C14</f>
        <v>5.7 Ventilation</v>
      </c>
      <c r="I93" s="235" t="str">
        <f>Classification!C15</f>
        <v>5.9 Fuel Installations / Systems</v>
      </c>
      <c r="J93" s="274" t="s">
        <v>9</v>
      </c>
      <c r="K93" s="274" t="s">
        <v>9</v>
      </c>
      <c r="L93" s="274" t="s">
        <v>9</v>
      </c>
      <c r="M93" s="235" t="s">
        <v>11</v>
      </c>
      <c r="N93" s="384"/>
      <c r="O93" s="363"/>
      <c r="P93" s="381"/>
      <c r="Q93" s="214"/>
      <c r="R93" s="197"/>
      <c r="S93" s="249"/>
    </row>
    <row r="94" spans="1:19" s="256" customFormat="1" x14ac:dyDescent="0.25">
      <c r="A94" s="203"/>
      <c r="B94" s="236">
        <v>11</v>
      </c>
      <c r="C94" s="236" t="s">
        <v>68</v>
      </c>
      <c r="D94" s="237" t="s">
        <v>7</v>
      </c>
      <c r="E94" s="238">
        <f>J12</f>
        <v>1</v>
      </c>
      <c r="F94" s="239" t="e">
        <v>#DIV/0!</v>
      </c>
      <c r="G94" s="239" t="e">
        <v>#DIV/0!</v>
      </c>
      <c r="H94" s="239" t="e">
        <v>#DIV/0!</v>
      </c>
      <c r="I94" s="239" t="e">
        <v>#DIV/0!</v>
      </c>
      <c r="J94" s="239"/>
      <c r="K94" s="239"/>
      <c r="L94" s="239"/>
      <c r="M94" s="239" t="e">
        <f>SUM(F94:L94)</f>
        <v>#DIV/0!</v>
      </c>
      <c r="N94" s="282" t="s">
        <v>82</v>
      </c>
      <c r="O94" s="327" t="str">
        <f>InteractiveReadyReckoner!J39</f>
        <v>CHOSEN OPTION</v>
      </c>
      <c r="P94" s="328" t="str">
        <f>InteractiveReadyReckoner!L39</f>
        <v>Yes</v>
      </c>
      <c r="Q94" s="255"/>
      <c r="R94" s="197"/>
      <c r="S94" s="257" t="str">
        <f t="shared" ref="S94:S96" si="4">O94&amp;P94</f>
        <v>CHOSEN OPTIONYes</v>
      </c>
    </row>
    <row r="95" spans="1:19" s="256" customFormat="1" x14ac:dyDescent="0.25">
      <c r="A95" s="203"/>
      <c r="B95" s="236">
        <v>12</v>
      </c>
      <c r="C95" s="236" t="s">
        <v>69</v>
      </c>
      <c r="D95" s="237" t="s">
        <v>7</v>
      </c>
      <c r="E95" s="238">
        <f>E94</f>
        <v>1</v>
      </c>
      <c r="F95" s="239" t="e">
        <v>#DIV/0!</v>
      </c>
      <c r="G95" s="239" t="e">
        <v>#DIV/0!</v>
      </c>
      <c r="H95" s="239" t="e">
        <v>#DIV/0!</v>
      </c>
      <c r="I95" s="239" t="e">
        <v>#DIV/0!</v>
      </c>
      <c r="J95" s="239"/>
      <c r="K95" s="239"/>
      <c r="L95" s="239"/>
      <c r="M95" s="239" t="e">
        <f>SUM(F95:L95)</f>
        <v>#DIV/0!</v>
      </c>
      <c r="N95" s="258" t="s">
        <v>7</v>
      </c>
      <c r="O95" s="352" t="str">
        <f>InteractiveReadyReckoner!J40</f>
        <v>Other</v>
      </c>
      <c r="P95" s="328" t="str">
        <f>InteractiveReadyReckoner!L40</f>
        <v>Yes</v>
      </c>
      <c r="Q95" s="255"/>
      <c r="R95" s="197"/>
      <c r="S95" s="257" t="str">
        <f t="shared" si="4"/>
        <v>OtherYes</v>
      </c>
    </row>
    <row r="96" spans="1:19" s="256" customFormat="1" x14ac:dyDescent="0.25">
      <c r="A96" s="203"/>
      <c r="B96" s="236">
        <v>13</v>
      </c>
      <c r="C96" s="236" t="s">
        <v>70</v>
      </c>
      <c r="D96" s="237" t="s">
        <v>7</v>
      </c>
      <c r="E96" s="238">
        <f>E94</f>
        <v>1</v>
      </c>
      <c r="F96" s="239" t="e">
        <v>#DIV/0!</v>
      </c>
      <c r="G96" s="239" t="e">
        <v>#DIV/0!</v>
      </c>
      <c r="H96" s="239" t="e">
        <v>#DIV/0!</v>
      </c>
      <c r="I96" s="239" t="e">
        <v>#DIV/0!</v>
      </c>
      <c r="J96" s="239"/>
      <c r="K96" s="239"/>
      <c r="L96" s="239"/>
      <c r="M96" s="239" t="e">
        <f>SUM(F96:L96)</f>
        <v>#DIV/0!</v>
      </c>
      <c r="N96" s="258" t="s">
        <v>7</v>
      </c>
      <c r="O96" s="352" t="str">
        <f>InteractiveReadyReckoner!J41</f>
        <v>Other</v>
      </c>
      <c r="P96" s="328" t="str">
        <f>InteractiveReadyReckoner!L41</f>
        <v>Yes</v>
      </c>
      <c r="Q96" s="255"/>
      <c r="R96" s="197"/>
      <c r="S96" s="257" t="str">
        <f t="shared" si="4"/>
        <v>OtherYes</v>
      </c>
    </row>
    <row r="97" spans="1:18" s="197" customFormat="1" ht="16.149999999999999" customHeight="1" x14ac:dyDescent="0.25">
      <c r="A97" s="203" t="str">
        <f>IF(B97&lt;&gt;"",1,"")</f>
        <v/>
      </c>
      <c r="B97" s="259" t="str">
        <f>IF(J21="Yes",IF(COUNTIF(P94:P96,"Yes")&lt;3,"3 options are required.",""),"")</f>
        <v/>
      </c>
      <c r="C97" s="260"/>
      <c r="D97" s="260"/>
      <c r="E97" s="261"/>
      <c r="F97" s="261"/>
      <c r="G97" s="261"/>
      <c r="H97" s="261"/>
      <c r="I97" s="261"/>
      <c r="J97" s="261"/>
      <c r="K97" s="261"/>
      <c r="L97" s="261"/>
      <c r="M97" s="261"/>
      <c r="N97" s="262"/>
    </row>
    <row r="98" spans="1:18" s="197" customFormat="1" ht="16.149999999999999" customHeight="1" x14ac:dyDescent="0.25">
      <c r="A98" s="203" t="str">
        <f>IF(B98&lt;&gt;"",1,"")</f>
        <v/>
      </c>
      <c r="B98" s="259" t="str">
        <f>IF(J21="Yes",IF(OR(AND(P94&lt;&gt;"No",O94=""),AND(P96&lt;&gt;"No",O96=""),AND(P95&lt;&gt;"No",O95="")),"All options to be indicated 'Yes' or 'No'. Or, the 'Option chosen, and summary reasons for not choosing...' column has not been completed for one or more options indicated as completed ('Yes').",""),"")</f>
        <v/>
      </c>
      <c r="C98" s="259"/>
      <c r="D98" s="260"/>
      <c r="E98" s="261"/>
      <c r="F98" s="261"/>
      <c r="G98" s="261"/>
      <c r="H98" s="261"/>
      <c r="I98" s="261"/>
      <c r="J98" s="261"/>
      <c r="K98" s="261"/>
      <c r="L98" s="261"/>
      <c r="M98" s="261"/>
      <c r="N98" s="262"/>
      <c r="R98" s="256"/>
    </row>
    <row r="99" spans="1:18" s="197" customFormat="1" ht="16.149999999999999" customHeight="1" x14ac:dyDescent="0.25">
      <c r="A99" s="203" t="str">
        <f>IF(B99&lt;&gt;"",1,"")</f>
        <v/>
      </c>
      <c r="B99" s="259" t="str">
        <f>IF(J21="Yes",IF(OR(COUNTIF(S94:S96,"CHOSEN OPTIONYes")&lt;&gt;1,COUNTIF(O94:O96,"CHOSEN OPTION")&lt;&gt;1),"One option indicated as complete must be selected as the 'CHOSEN OPTION'.",""),"")</f>
        <v/>
      </c>
      <c r="C99" s="259"/>
      <c r="D99" s="260"/>
      <c r="E99" s="261"/>
      <c r="F99" s="261"/>
      <c r="G99" s="261"/>
      <c r="H99" s="261"/>
      <c r="I99" s="261"/>
      <c r="J99" s="261"/>
      <c r="K99" s="261"/>
      <c r="L99" s="261"/>
      <c r="M99" s="261"/>
      <c r="N99" s="262"/>
      <c r="R99" s="256"/>
    </row>
    <row r="100" spans="1:18" s="197" customFormat="1" ht="16.149999999999999" customHeight="1" x14ac:dyDescent="0.25">
      <c r="A100" s="203"/>
      <c r="B100" s="270"/>
      <c r="C100" s="229"/>
      <c r="D100" s="229"/>
      <c r="E100" s="229"/>
      <c r="F100" s="229"/>
      <c r="G100" s="229"/>
      <c r="H100" s="229"/>
      <c r="J100" s="271"/>
      <c r="K100" s="271"/>
      <c r="N100" s="266"/>
    </row>
    <row r="101" spans="1:18" s="197" customFormat="1" ht="16.149999999999999" customHeight="1" x14ac:dyDescent="0.25">
      <c r="A101" s="203"/>
      <c r="B101" s="210" t="s">
        <v>247</v>
      </c>
      <c r="C101" s="279"/>
      <c r="D101" s="280"/>
      <c r="E101" s="211"/>
      <c r="F101" s="211"/>
      <c r="G101" s="211"/>
      <c r="H101" s="211"/>
      <c r="I101" s="211"/>
      <c r="J101" s="365">
        <f>IFERROR(INDEX(RIBAStage2OptionsServ,MATCH("CHOSEN OPTIONYes",S94:S96,0)),"")</f>
        <v>11</v>
      </c>
      <c r="K101" s="366"/>
      <c r="L101" s="366"/>
      <c r="M101" s="366"/>
      <c r="N101" s="367"/>
    </row>
    <row r="102" spans="1:18" s="197" customFormat="1" ht="16.149999999999999" customHeight="1" x14ac:dyDescent="0.25">
      <c r="A102" s="203"/>
      <c r="B102" s="270"/>
      <c r="N102" s="266"/>
    </row>
    <row r="103" spans="1:18" s="197" customFormat="1" ht="16.149999999999999" customHeight="1" x14ac:dyDescent="0.25">
      <c r="A103" s="203"/>
      <c r="B103" s="269" t="s">
        <v>47</v>
      </c>
      <c r="C103" s="221"/>
      <c r="D103" s="241"/>
      <c r="E103" s="241"/>
      <c r="F103" s="241"/>
      <c r="G103" s="241"/>
      <c r="H103" s="241"/>
      <c r="I103" s="241"/>
      <c r="J103" s="382" t="str">
        <f ca="1">IF(AND(J21="Yes",B4=""),IF(J63&gt;0,1,0),"--")</f>
        <v>--</v>
      </c>
      <c r="K103" s="382"/>
      <c r="L103" s="382"/>
      <c r="M103" s="382"/>
      <c r="N103" s="382"/>
    </row>
    <row r="104" spans="1:18" s="197" customFormat="1" ht="16.149999999999999" customHeight="1" x14ac:dyDescent="0.25">
      <c r="A104" s="203"/>
      <c r="B104" s="270"/>
      <c r="C104" s="229"/>
      <c r="D104" s="229"/>
      <c r="E104" s="229"/>
      <c r="F104" s="229"/>
      <c r="G104" s="229"/>
      <c r="H104" s="229"/>
      <c r="J104" s="271"/>
      <c r="K104" s="271"/>
      <c r="N104" s="205"/>
    </row>
    <row r="105" spans="1:18" s="204" customFormat="1" ht="21.75" thickBot="1" x14ac:dyDescent="0.3">
      <c r="A105" s="203"/>
      <c r="B105" s="369" t="s">
        <v>104</v>
      </c>
      <c r="C105" s="369"/>
      <c r="D105" s="369"/>
      <c r="E105" s="369"/>
      <c r="F105" s="369"/>
      <c r="G105" s="369"/>
      <c r="H105" s="369"/>
      <c r="I105" s="369"/>
      <c r="J105" s="245"/>
      <c r="K105" s="245"/>
      <c r="L105" s="245"/>
      <c r="M105" s="245"/>
      <c r="N105" s="245"/>
      <c r="O105" s="245"/>
      <c r="P105" s="246"/>
      <c r="Q105" s="214"/>
    </row>
    <row r="106" spans="1:18" s="197" customFormat="1" ht="16.149999999999999" customHeight="1" x14ac:dyDescent="0.25">
      <c r="A106" s="203"/>
      <c r="B106" s="270"/>
      <c r="C106" s="229"/>
      <c r="D106" s="229"/>
      <c r="E106" s="229"/>
      <c r="F106" s="229"/>
      <c r="G106" s="229"/>
      <c r="H106" s="229"/>
      <c r="J106" s="271"/>
      <c r="K106" s="271"/>
      <c r="N106" s="205"/>
    </row>
    <row r="107" spans="1:18" s="286" customFormat="1" ht="36" x14ac:dyDescent="0.25">
      <c r="A107" s="203"/>
      <c r="B107" s="283" t="s">
        <v>102</v>
      </c>
      <c r="C107" s="284"/>
      <c r="D107" s="284"/>
      <c r="E107" s="285"/>
      <c r="F107" s="285"/>
      <c r="G107" s="285"/>
      <c r="H107" s="285"/>
      <c r="I107" s="285"/>
      <c r="J107" s="368" t="str">
        <f ca="1">IF(B4="",ROUNDDOWN(SUM(J43,J63,J85),0)&amp;IF(J103&lt;&gt;"--"," + Exemplar credit",""),"Errors to be corrected.")</f>
        <v>Errors to be corrected.</v>
      </c>
      <c r="K107" s="368"/>
      <c r="L107" s="368"/>
      <c r="M107" s="368"/>
      <c r="N107" s="368"/>
      <c r="R107" s="197"/>
    </row>
    <row r="108" spans="1:18" s="197" customFormat="1" ht="16.149999999999999" customHeight="1" x14ac:dyDescent="0.25">
      <c r="A108" s="203"/>
      <c r="B108" s="270"/>
      <c r="C108" s="229"/>
      <c r="D108" s="229"/>
      <c r="E108" s="229"/>
      <c r="F108" s="229"/>
      <c r="G108" s="229"/>
      <c r="H108" s="229"/>
      <c r="J108" s="271"/>
      <c r="K108" s="271"/>
      <c r="N108" s="266"/>
    </row>
    <row r="109" spans="1:18" s="197" customFormat="1" ht="16.149999999999999" customHeight="1" x14ac:dyDescent="0.25">
      <c r="A109" s="203"/>
      <c r="B109" s="270"/>
      <c r="C109" s="229"/>
      <c r="D109" s="229"/>
      <c r="E109" s="229"/>
      <c r="F109" s="229"/>
      <c r="G109" s="229"/>
      <c r="H109" s="229"/>
      <c r="J109" s="271"/>
      <c r="K109" s="271"/>
      <c r="N109" s="266"/>
    </row>
    <row r="110" spans="1:18" s="204" customFormat="1" ht="21.75" thickBot="1" x14ac:dyDescent="0.3">
      <c r="A110" s="203"/>
      <c r="B110" s="287" t="s">
        <v>165</v>
      </c>
      <c r="C110" s="287"/>
      <c r="D110" s="287"/>
      <c r="E110" s="287"/>
      <c r="F110" s="287"/>
      <c r="G110" s="287"/>
      <c r="H110" s="287"/>
      <c r="I110" s="287"/>
      <c r="J110" s="245"/>
      <c r="K110" s="245"/>
      <c r="L110" s="245"/>
      <c r="M110" s="245"/>
      <c r="N110" s="245"/>
      <c r="O110" s="245"/>
      <c r="P110" s="246"/>
      <c r="Q110" s="214"/>
    </row>
    <row r="111" spans="1:18" s="197" customFormat="1" ht="16.149999999999999" customHeight="1" x14ac:dyDescent="0.25">
      <c r="A111" s="203"/>
      <c r="B111" s="270"/>
      <c r="C111" s="229"/>
      <c r="D111" s="229"/>
      <c r="E111" s="229"/>
      <c r="F111" s="229"/>
      <c r="G111" s="229"/>
      <c r="H111" s="229"/>
      <c r="J111" s="271"/>
      <c r="K111" s="271"/>
      <c r="N111" s="266"/>
    </row>
    <row r="112" spans="1:18" s="197" customFormat="1" ht="16.149999999999999" customHeight="1" x14ac:dyDescent="0.25">
      <c r="A112" s="203"/>
      <c r="B112" s="288" t="s">
        <v>257</v>
      </c>
      <c r="C112" s="229"/>
      <c r="D112" s="229"/>
      <c r="E112" s="229"/>
      <c r="F112" s="229"/>
      <c r="G112" s="229"/>
      <c r="H112" s="229"/>
      <c r="J112" s="271"/>
      <c r="K112" s="271"/>
      <c r="N112" s="266"/>
    </row>
    <row r="113" spans="1:14" s="197" customFormat="1" ht="16.149999999999999" customHeight="1" x14ac:dyDescent="0.25">
      <c r="A113" s="203" t="str">
        <f>IF(J113&lt;&gt;"Yes",1,"")</f>
        <v/>
      </c>
      <c r="B113" s="222" t="s">
        <v>248</v>
      </c>
      <c r="C113" s="221"/>
      <c r="D113" s="221"/>
      <c r="E113" s="221"/>
      <c r="F113" s="221"/>
      <c r="G113" s="221"/>
      <c r="H113" s="221"/>
      <c r="I113" s="221"/>
      <c r="J113" s="360" t="str">
        <f>InteractiveReadyReckoner!L47</f>
        <v>Yes</v>
      </c>
      <c r="K113" s="360"/>
      <c r="L113" s="360"/>
      <c r="M113" s="360"/>
      <c r="N113" s="360"/>
    </row>
    <row r="114" spans="1:14" s="197" customFormat="1" ht="16.149999999999999" customHeight="1" x14ac:dyDescent="0.25">
      <c r="A114" s="203" t="str">
        <f>IF(J114&lt;&gt;"Yes",1,"")</f>
        <v/>
      </c>
      <c r="B114" s="222" t="s">
        <v>253</v>
      </c>
      <c r="C114" s="221"/>
      <c r="D114" s="221"/>
      <c r="E114" s="221"/>
      <c r="F114" s="221"/>
      <c r="G114" s="221"/>
      <c r="H114" s="221"/>
      <c r="I114" s="221"/>
      <c r="J114" s="360" t="str">
        <f>InteractiveReadyReckoner!L48</f>
        <v>Yes</v>
      </c>
      <c r="K114" s="360"/>
      <c r="L114" s="360"/>
      <c r="M114" s="360"/>
      <c r="N114" s="360"/>
    </row>
    <row r="115" spans="1:14" s="197" customFormat="1" ht="31.9" customHeight="1" x14ac:dyDescent="0.25">
      <c r="A115" s="203" t="str">
        <f>IF(J115&lt;&gt;"Yes",1,"")</f>
        <v/>
      </c>
      <c r="B115" s="386" t="s">
        <v>258</v>
      </c>
      <c r="C115" s="386"/>
      <c r="D115" s="386"/>
      <c r="E115" s="386"/>
      <c r="F115" s="386"/>
      <c r="G115" s="386"/>
      <c r="H115" s="386"/>
      <c r="I115" s="386"/>
      <c r="J115" s="360" t="str">
        <f>InteractiveReadyReckoner!L49</f>
        <v>Yes</v>
      </c>
      <c r="K115" s="360"/>
      <c r="L115" s="360"/>
      <c r="M115" s="360"/>
      <c r="N115" s="360"/>
    </row>
    <row r="116" spans="1:14" s="197" customFormat="1" ht="16.149999999999999" customHeight="1" x14ac:dyDescent="0.25">
      <c r="A116" s="203"/>
      <c r="C116" s="229"/>
      <c r="D116" s="229"/>
      <c r="E116" s="229"/>
      <c r="F116" s="229"/>
      <c r="G116" s="229"/>
      <c r="H116" s="229"/>
      <c r="J116" s="271"/>
      <c r="K116" s="271"/>
      <c r="N116" s="266"/>
    </row>
    <row r="117" spans="1:14" s="197" customFormat="1" ht="16.149999999999999" customHeight="1" x14ac:dyDescent="0.25">
      <c r="A117" s="203" t="str">
        <f ca="1">IF(J117="",1,"")</f>
        <v/>
      </c>
      <c r="B117" s="210" t="s">
        <v>167</v>
      </c>
      <c r="C117" s="212"/>
      <c r="D117" s="212"/>
      <c r="E117" s="212"/>
      <c r="F117" s="212"/>
      <c r="G117" s="212"/>
      <c r="H117" s="212"/>
      <c r="I117" s="212"/>
      <c r="J117" s="380">
        <f ca="1">InteractiveReadyReckoner!L50</f>
        <v>43877.923309375001</v>
      </c>
      <c r="K117" s="380"/>
      <c r="L117" s="380"/>
      <c r="M117" s="380"/>
      <c r="N117" s="380"/>
    </row>
    <row r="118" spans="1:14" x14ac:dyDescent="0.25"/>
    <row r="119" spans="1:14" hidden="1" x14ac:dyDescent="0.25"/>
    <row r="120" spans="1:14" hidden="1" x14ac:dyDescent="0.25"/>
    <row r="121" spans="1:14" hidden="1" x14ac:dyDescent="0.25"/>
    <row r="122" spans="1:14" hidden="1" x14ac:dyDescent="0.25"/>
    <row r="123" spans="1:14" hidden="1" x14ac:dyDescent="0.25"/>
    <row r="124" spans="1:14" hidden="1" x14ac:dyDescent="0.25"/>
    <row r="125" spans="1:14" hidden="1" x14ac:dyDescent="0.25"/>
    <row r="126" spans="1:14" ht="28.5" hidden="1" x14ac:dyDescent="0.25">
      <c r="B126" s="289"/>
      <c r="C126" s="288"/>
      <c r="D126" s="288"/>
      <c r="E126" s="288"/>
      <c r="F126" s="288"/>
      <c r="G126" s="288"/>
      <c r="H126" s="288"/>
      <c r="I126" s="288"/>
      <c r="J126" s="288"/>
      <c r="K126" s="288"/>
      <c r="L126" s="288"/>
      <c r="M126" s="288"/>
    </row>
    <row r="127" spans="1:14" hidden="1" x14ac:dyDescent="0.25">
      <c r="B127" s="288"/>
      <c r="C127" s="288"/>
      <c r="D127" s="288"/>
      <c r="E127" s="288"/>
      <c r="F127" s="288"/>
      <c r="G127" s="288"/>
      <c r="H127" s="288"/>
      <c r="I127" s="288"/>
      <c r="J127" s="288"/>
      <c r="K127" s="288"/>
      <c r="L127" s="288"/>
      <c r="M127" s="288"/>
    </row>
    <row r="128" spans="1:14" hidden="1" x14ac:dyDescent="0.25">
      <c r="B128" s="288"/>
      <c r="C128" s="288"/>
      <c r="D128" s="288"/>
      <c r="E128" s="288"/>
      <c r="F128" s="288"/>
      <c r="G128" s="288"/>
      <c r="H128" s="288"/>
      <c r="I128" s="288"/>
      <c r="J128" s="288"/>
      <c r="K128" s="288"/>
      <c r="L128" s="288"/>
      <c r="M128" s="288"/>
    </row>
    <row r="129" spans="2:13" hidden="1" x14ac:dyDescent="0.25">
      <c r="B129" s="288"/>
      <c r="C129" s="288"/>
      <c r="D129" s="288"/>
      <c r="E129" s="288"/>
      <c r="F129" s="288"/>
      <c r="G129" s="288"/>
      <c r="H129" s="288"/>
      <c r="I129" s="288"/>
      <c r="J129" s="288"/>
      <c r="K129" s="288"/>
      <c r="L129" s="288"/>
      <c r="M129" s="288"/>
    </row>
    <row r="130" spans="2:13" hidden="1" x14ac:dyDescent="0.25">
      <c r="B130" s="288"/>
      <c r="C130" s="288"/>
      <c r="D130" s="288"/>
      <c r="E130" s="288"/>
      <c r="F130" s="288"/>
      <c r="G130" s="288"/>
      <c r="H130" s="288"/>
      <c r="I130" s="288"/>
      <c r="J130" s="288"/>
      <c r="K130" s="288"/>
      <c r="L130" s="288"/>
      <c r="M130" s="288"/>
    </row>
    <row r="131" spans="2:13" hidden="1" x14ac:dyDescent="0.25">
      <c r="B131" s="288"/>
      <c r="C131" s="288"/>
      <c r="D131" s="288"/>
      <c r="E131" s="288"/>
      <c r="F131" s="288"/>
      <c r="G131" s="288"/>
      <c r="H131" s="288"/>
      <c r="I131" s="288"/>
      <c r="J131" s="288"/>
      <c r="K131" s="288"/>
      <c r="L131" s="288"/>
      <c r="M131" s="288"/>
    </row>
    <row r="132" spans="2:13" hidden="1" x14ac:dyDescent="0.25">
      <c r="B132" s="288"/>
      <c r="C132" s="288"/>
      <c r="D132" s="288"/>
      <c r="E132" s="288"/>
      <c r="F132" s="288"/>
      <c r="G132" s="288"/>
      <c r="H132" s="288"/>
      <c r="I132" s="288"/>
      <c r="J132" s="288"/>
      <c r="K132" s="288"/>
      <c r="L132" s="288"/>
      <c r="M132" s="288"/>
    </row>
    <row r="133" spans="2:13" hidden="1" x14ac:dyDescent="0.25">
      <c r="B133" s="288"/>
      <c r="C133" s="288"/>
      <c r="D133" s="288"/>
      <c r="E133" s="288"/>
      <c r="F133" s="288"/>
      <c r="G133" s="288"/>
      <c r="H133" s="288"/>
      <c r="I133" s="288"/>
      <c r="J133" s="288"/>
      <c r="K133" s="288"/>
      <c r="L133" s="288"/>
      <c r="M133" s="288"/>
    </row>
    <row r="134" spans="2:13" hidden="1" x14ac:dyDescent="0.25">
      <c r="B134" s="288"/>
      <c r="C134" s="288"/>
      <c r="D134" s="288"/>
      <c r="E134" s="288"/>
      <c r="F134" s="288"/>
      <c r="G134" s="288"/>
      <c r="H134" s="288"/>
      <c r="I134" s="288"/>
      <c r="J134" s="288"/>
      <c r="K134" s="288"/>
      <c r="L134" s="288"/>
      <c r="M134" s="288"/>
    </row>
    <row r="135" spans="2:13" hidden="1" x14ac:dyDescent="0.25">
      <c r="B135" s="288"/>
      <c r="C135" s="288"/>
      <c r="D135" s="288"/>
      <c r="E135" s="288"/>
      <c r="F135" s="288"/>
      <c r="G135" s="288"/>
      <c r="H135" s="288"/>
      <c r="I135" s="288"/>
      <c r="J135" s="288"/>
      <c r="K135" s="288"/>
      <c r="L135" s="288"/>
      <c r="M135" s="288"/>
    </row>
    <row r="136" spans="2:13" hidden="1" x14ac:dyDescent="0.25">
      <c r="B136" s="288"/>
      <c r="C136" s="288"/>
      <c r="D136" s="288"/>
      <c r="E136" s="288"/>
      <c r="F136" s="288"/>
      <c r="G136" s="288"/>
      <c r="H136" s="288"/>
      <c r="I136" s="288"/>
      <c r="J136" s="288"/>
      <c r="K136" s="288"/>
      <c r="L136" s="288"/>
      <c r="M136" s="288"/>
    </row>
  </sheetData>
  <mergeCells count="62">
    <mergeCell ref="J15:N15"/>
    <mergeCell ref="J24:N24"/>
    <mergeCell ref="J22:N22"/>
    <mergeCell ref="J20:N20"/>
    <mergeCell ref="J23:N23"/>
    <mergeCell ref="B2:O2"/>
    <mergeCell ref="J10:N10"/>
    <mergeCell ref="J12:N12"/>
    <mergeCell ref="F49:M49"/>
    <mergeCell ref="B49:C49"/>
    <mergeCell ref="D49:D50"/>
    <mergeCell ref="E49:E50"/>
    <mergeCell ref="J40:N40"/>
    <mergeCell ref="J41:N41"/>
    <mergeCell ref="J42:N42"/>
    <mergeCell ref="J43:N43"/>
    <mergeCell ref="J19:N19"/>
    <mergeCell ref="J25:N25"/>
    <mergeCell ref="J26:N26"/>
    <mergeCell ref="B36:C36"/>
    <mergeCell ref="D36:D37"/>
    <mergeCell ref="P49:P50"/>
    <mergeCell ref="N70:N71"/>
    <mergeCell ref="P70:P71"/>
    <mergeCell ref="O49:O50"/>
    <mergeCell ref="J58:N58"/>
    <mergeCell ref="J62:N62"/>
    <mergeCell ref="J63:N63"/>
    <mergeCell ref="O70:O71"/>
    <mergeCell ref="J59:N59"/>
    <mergeCell ref="N49:N50"/>
    <mergeCell ref="J117:N117"/>
    <mergeCell ref="P92:P93"/>
    <mergeCell ref="J83:N83"/>
    <mergeCell ref="J85:N85"/>
    <mergeCell ref="J101:N101"/>
    <mergeCell ref="F92:M92"/>
    <mergeCell ref="N92:N93"/>
    <mergeCell ref="J103:N103"/>
    <mergeCell ref="B87:I87"/>
    <mergeCell ref="B92:C92"/>
    <mergeCell ref="D92:D93"/>
    <mergeCell ref="E92:E93"/>
    <mergeCell ref="B105:I105"/>
    <mergeCell ref="O92:O93"/>
    <mergeCell ref="B115:I115"/>
    <mergeCell ref="J11:N11"/>
    <mergeCell ref="J115:N115"/>
    <mergeCell ref="B70:C70"/>
    <mergeCell ref="D70:D71"/>
    <mergeCell ref="E70:E71"/>
    <mergeCell ref="J113:N113"/>
    <mergeCell ref="J114:N114"/>
    <mergeCell ref="J82:N82"/>
    <mergeCell ref="J107:N107"/>
    <mergeCell ref="B65:I65"/>
    <mergeCell ref="F70:M70"/>
    <mergeCell ref="E36:E37"/>
    <mergeCell ref="F36:M36"/>
    <mergeCell ref="J27:N27"/>
    <mergeCell ref="J13:N13"/>
    <mergeCell ref="J21:N21"/>
  </mergeCells>
  <conditionalFormatting sqref="F51:L51">
    <cfRule type="dataBar" priority="64">
      <dataBar>
        <cfvo type="min"/>
        <cfvo type="max"/>
        <color rgb="FF638EC6"/>
      </dataBar>
      <extLst>
        <ext xmlns:x14="http://schemas.microsoft.com/office/spreadsheetml/2009/9/main" uri="{B025F937-C7B1-47D3-B67F-A62EFF666E3E}">
          <x14:id>{1749B3AD-BEB1-4D82-AD30-FA592E232323}</x14:id>
        </ext>
      </extLst>
    </cfRule>
  </conditionalFormatting>
  <conditionalFormatting sqref="F52:K52">
    <cfRule type="dataBar" priority="68">
      <dataBar>
        <cfvo type="min"/>
        <cfvo type="max"/>
        <color rgb="FF638EC6"/>
      </dataBar>
      <extLst>
        <ext xmlns:x14="http://schemas.microsoft.com/office/spreadsheetml/2009/9/main" uri="{B025F937-C7B1-47D3-B67F-A62EFF666E3E}">
          <x14:id>{C7E6A058-A016-4BE6-A69E-8BEE0A48E8B4}</x14:id>
        </ext>
      </extLst>
    </cfRule>
  </conditionalFormatting>
  <conditionalFormatting sqref="F53:K53">
    <cfRule type="dataBar" priority="67">
      <dataBar>
        <cfvo type="min"/>
        <cfvo type="max"/>
        <color rgb="FFFFB628"/>
      </dataBar>
      <extLst>
        <ext xmlns:x14="http://schemas.microsoft.com/office/spreadsheetml/2009/9/main" uri="{B025F937-C7B1-47D3-B67F-A62EFF666E3E}">
          <x14:id>{631B6EC8-81CE-4037-BCD4-537019ABB750}</x14:id>
        </ext>
      </extLst>
    </cfRule>
  </conditionalFormatting>
  <conditionalFormatting sqref="F54:K54">
    <cfRule type="dataBar" priority="66">
      <dataBar>
        <cfvo type="min"/>
        <cfvo type="max"/>
        <color rgb="FFD6007B"/>
      </dataBar>
      <extLst>
        <ext xmlns:x14="http://schemas.microsoft.com/office/spreadsheetml/2009/9/main" uri="{B025F937-C7B1-47D3-B67F-A62EFF666E3E}">
          <x14:id>{6BF1084A-FB09-4B36-A38A-663466342492}</x14:id>
        </ext>
      </extLst>
    </cfRule>
  </conditionalFormatting>
  <conditionalFormatting sqref="M51:M54">
    <cfRule type="dataBar" priority="17">
      <dataBar>
        <cfvo type="min"/>
        <cfvo type="max"/>
        <color rgb="FFFF555A"/>
      </dataBar>
      <extLst>
        <ext xmlns:x14="http://schemas.microsoft.com/office/spreadsheetml/2009/9/main" uri="{B025F937-C7B1-47D3-B67F-A62EFF666E3E}">
          <x14:id>{AAABD0A2-55A4-4049-B984-36D4E7F21953}</x14:id>
        </ext>
      </extLst>
    </cfRule>
  </conditionalFormatting>
  <conditionalFormatting sqref="F52:L52">
    <cfRule type="dataBar" priority="63">
      <dataBar>
        <cfvo type="min"/>
        <cfvo type="max"/>
        <color rgb="FF638EC6"/>
      </dataBar>
      <extLst>
        <ext xmlns:x14="http://schemas.microsoft.com/office/spreadsheetml/2009/9/main" uri="{B025F937-C7B1-47D3-B67F-A62EFF666E3E}">
          <x14:id>{8487E32C-08EE-4A0F-93FB-0B7F357B9F6E}</x14:id>
        </ext>
      </extLst>
    </cfRule>
  </conditionalFormatting>
  <conditionalFormatting sqref="F53:L53">
    <cfRule type="dataBar" priority="62">
      <dataBar>
        <cfvo type="min"/>
        <cfvo type="max"/>
        <color rgb="FF638EC6"/>
      </dataBar>
      <extLst>
        <ext xmlns:x14="http://schemas.microsoft.com/office/spreadsheetml/2009/9/main" uri="{B025F937-C7B1-47D3-B67F-A62EFF666E3E}">
          <x14:id>{0546D1C8-62E1-4054-B784-748C6DD605D9}</x14:id>
        </ext>
      </extLst>
    </cfRule>
  </conditionalFormatting>
  <conditionalFormatting sqref="F54:L54">
    <cfRule type="dataBar" priority="61">
      <dataBar>
        <cfvo type="min"/>
        <cfvo type="max"/>
        <color rgb="FF638EC6"/>
      </dataBar>
      <extLst>
        <ext xmlns:x14="http://schemas.microsoft.com/office/spreadsheetml/2009/9/main" uri="{B025F937-C7B1-47D3-B67F-A62EFF666E3E}">
          <x14:id>{6F73548D-9D19-4B66-B982-2F520C1760BE}</x14:id>
        </ext>
      </extLst>
    </cfRule>
  </conditionalFormatting>
  <conditionalFormatting sqref="F51:F54">
    <cfRule type="dataBar" priority="54">
      <dataBar>
        <cfvo type="min"/>
        <cfvo type="max"/>
        <color rgb="FF008AEF"/>
      </dataBar>
      <extLst>
        <ext xmlns:x14="http://schemas.microsoft.com/office/spreadsheetml/2009/9/main" uri="{B025F937-C7B1-47D3-B67F-A62EFF666E3E}">
          <x14:id>{2148E88C-5382-4125-B845-359CC0F4DDB9}</x14:id>
        </ext>
      </extLst>
    </cfRule>
  </conditionalFormatting>
  <conditionalFormatting sqref="G51:G54">
    <cfRule type="dataBar" priority="53">
      <dataBar>
        <cfvo type="min"/>
        <cfvo type="max"/>
        <color rgb="FF008AEF"/>
      </dataBar>
      <extLst>
        <ext xmlns:x14="http://schemas.microsoft.com/office/spreadsheetml/2009/9/main" uri="{B025F937-C7B1-47D3-B67F-A62EFF666E3E}">
          <x14:id>{7D37DC89-B3CF-431D-9F3D-A5299AAB98A8}</x14:id>
        </ext>
      </extLst>
    </cfRule>
  </conditionalFormatting>
  <conditionalFormatting sqref="H51:H54">
    <cfRule type="dataBar" priority="52">
      <dataBar>
        <cfvo type="min"/>
        <cfvo type="max"/>
        <color rgb="FF008AEF"/>
      </dataBar>
      <extLst>
        <ext xmlns:x14="http://schemas.microsoft.com/office/spreadsheetml/2009/9/main" uri="{B025F937-C7B1-47D3-B67F-A62EFF666E3E}">
          <x14:id>{0B53B36F-94D3-4126-AED0-A1C32D73FD41}</x14:id>
        </ext>
      </extLst>
    </cfRule>
  </conditionalFormatting>
  <conditionalFormatting sqref="I51:I54">
    <cfRule type="dataBar" priority="51">
      <dataBar>
        <cfvo type="min"/>
        <cfvo type="max"/>
        <color rgb="FF008AEF"/>
      </dataBar>
      <extLst>
        <ext xmlns:x14="http://schemas.microsoft.com/office/spreadsheetml/2009/9/main" uri="{B025F937-C7B1-47D3-B67F-A62EFF666E3E}">
          <x14:id>{1D93B31E-EC43-4BAA-A642-EE541EBB5978}</x14:id>
        </ext>
      </extLst>
    </cfRule>
  </conditionalFormatting>
  <conditionalFormatting sqref="J51:J54">
    <cfRule type="dataBar" priority="50">
      <dataBar>
        <cfvo type="min"/>
        <cfvo type="max"/>
        <color rgb="FF008AEF"/>
      </dataBar>
      <extLst>
        <ext xmlns:x14="http://schemas.microsoft.com/office/spreadsheetml/2009/9/main" uri="{B025F937-C7B1-47D3-B67F-A62EFF666E3E}">
          <x14:id>{D868FC4D-3061-4F9A-9177-A37D54CB5E03}</x14:id>
        </ext>
      </extLst>
    </cfRule>
  </conditionalFormatting>
  <conditionalFormatting sqref="K51:K54">
    <cfRule type="dataBar" priority="49">
      <dataBar>
        <cfvo type="min"/>
        <cfvo type="max"/>
        <color rgb="FF008AEF"/>
      </dataBar>
      <extLst>
        <ext xmlns:x14="http://schemas.microsoft.com/office/spreadsheetml/2009/9/main" uri="{B025F937-C7B1-47D3-B67F-A62EFF666E3E}">
          <x14:id>{BD9718F1-3210-458E-9A23-B28E1B72B6CE}</x14:id>
        </ext>
      </extLst>
    </cfRule>
  </conditionalFormatting>
  <conditionalFormatting sqref="L51:L54">
    <cfRule type="dataBar" priority="48">
      <dataBar>
        <cfvo type="min"/>
        <cfvo type="max"/>
        <color rgb="FF008AEF"/>
      </dataBar>
      <extLst>
        <ext xmlns:x14="http://schemas.microsoft.com/office/spreadsheetml/2009/9/main" uri="{B025F937-C7B1-47D3-B67F-A62EFF666E3E}">
          <x14:id>{96F6E014-FC32-4E53-A35D-4A2E0A57ADEE}</x14:id>
        </ext>
      </extLst>
    </cfRule>
  </conditionalFormatting>
  <conditionalFormatting sqref="F72:F77">
    <cfRule type="dataBar" priority="46">
      <dataBar>
        <cfvo type="min"/>
        <cfvo type="max"/>
        <color rgb="FF008AEF"/>
      </dataBar>
      <extLst>
        <ext xmlns:x14="http://schemas.microsoft.com/office/spreadsheetml/2009/9/main" uri="{B025F937-C7B1-47D3-B67F-A62EFF666E3E}">
          <x14:id>{388E0F6A-EBDD-4FE9-8C4F-B1C2294F0978}</x14:id>
        </ext>
      </extLst>
    </cfRule>
  </conditionalFormatting>
  <conditionalFormatting sqref="G72:G77">
    <cfRule type="dataBar" priority="45">
      <dataBar>
        <cfvo type="min"/>
        <cfvo type="max"/>
        <color rgb="FF008AEF"/>
      </dataBar>
      <extLst>
        <ext xmlns:x14="http://schemas.microsoft.com/office/spreadsheetml/2009/9/main" uri="{B025F937-C7B1-47D3-B67F-A62EFF666E3E}">
          <x14:id>{09C59971-DAE5-4AC3-813D-3E69A86980D9}</x14:id>
        </ext>
      </extLst>
    </cfRule>
  </conditionalFormatting>
  <conditionalFormatting sqref="M72:M77">
    <cfRule type="dataBar" priority="16">
      <dataBar>
        <cfvo type="min"/>
        <cfvo type="max"/>
        <color rgb="FFFF555A"/>
      </dataBar>
      <extLst>
        <ext xmlns:x14="http://schemas.microsoft.com/office/spreadsheetml/2009/9/main" uri="{B025F937-C7B1-47D3-B67F-A62EFF666E3E}">
          <x14:id>{711BA903-1EBA-482A-9352-CBFE46AD19D7}</x14:id>
        </ext>
      </extLst>
    </cfRule>
  </conditionalFormatting>
  <conditionalFormatting sqref="F94:F96">
    <cfRule type="dataBar" priority="43">
      <dataBar>
        <cfvo type="min"/>
        <cfvo type="max"/>
        <color rgb="FF008AEF"/>
      </dataBar>
      <extLst>
        <ext xmlns:x14="http://schemas.microsoft.com/office/spreadsheetml/2009/9/main" uri="{B025F937-C7B1-47D3-B67F-A62EFF666E3E}">
          <x14:id>{C5C49196-2FA0-428F-AB51-4CCB0E11A52E}</x14:id>
        </ext>
      </extLst>
    </cfRule>
  </conditionalFormatting>
  <conditionalFormatting sqref="G94:G96">
    <cfRule type="dataBar" priority="42">
      <dataBar>
        <cfvo type="min"/>
        <cfvo type="max"/>
        <color rgb="FF008AEF"/>
      </dataBar>
      <extLst>
        <ext xmlns:x14="http://schemas.microsoft.com/office/spreadsheetml/2009/9/main" uri="{B025F937-C7B1-47D3-B67F-A62EFF666E3E}">
          <x14:id>{B4DF5280-EF8E-4AD6-9919-68370AC028F6}</x14:id>
        </ext>
      </extLst>
    </cfRule>
  </conditionalFormatting>
  <conditionalFormatting sqref="H94:H96">
    <cfRule type="dataBar" priority="41">
      <dataBar>
        <cfvo type="min"/>
        <cfvo type="max"/>
        <color rgb="FF008AEF"/>
      </dataBar>
      <extLst>
        <ext xmlns:x14="http://schemas.microsoft.com/office/spreadsheetml/2009/9/main" uri="{B025F937-C7B1-47D3-B67F-A62EFF666E3E}">
          <x14:id>{D8FCA5DB-C722-4258-9C98-BC223F3ABA1E}</x14:id>
        </ext>
      </extLst>
    </cfRule>
  </conditionalFormatting>
  <conditionalFormatting sqref="I94:I96">
    <cfRule type="dataBar" priority="40">
      <dataBar>
        <cfvo type="min"/>
        <cfvo type="max"/>
        <color rgb="FF008AEF"/>
      </dataBar>
      <extLst>
        <ext xmlns:x14="http://schemas.microsoft.com/office/spreadsheetml/2009/9/main" uri="{B025F937-C7B1-47D3-B67F-A62EFF666E3E}">
          <x14:id>{AD171B1B-ABC7-4BB6-BF9D-21FACB962BBB}</x14:id>
        </ext>
      </extLst>
    </cfRule>
  </conditionalFormatting>
  <conditionalFormatting sqref="M94:M96">
    <cfRule type="dataBar" priority="15">
      <dataBar>
        <cfvo type="min"/>
        <cfvo type="max"/>
        <color rgb="FFFF555A"/>
      </dataBar>
      <extLst>
        <ext xmlns:x14="http://schemas.microsoft.com/office/spreadsheetml/2009/9/main" uri="{B025F937-C7B1-47D3-B67F-A62EFF666E3E}">
          <x14:id>{597ED585-A9D8-4BC7-A857-8E5AAE324351}</x14:id>
        </ext>
      </extLst>
    </cfRule>
  </conditionalFormatting>
  <conditionalFormatting sqref="A10:A117">
    <cfRule type="cellIs" dxfId="13" priority="3" operator="equal">
      <formula>1</formula>
    </cfRule>
  </conditionalFormatting>
  <dataValidations count="5">
    <dataValidation type="list" allowBlank="1" showInputMessage="1" showErrorMessage="1" sqref="J59 P94:P96" xr:uid="{00000000-0002-0000-0000-000001000000}">
      <formula1>"Yes,No"</formula1>
    </dataValidation>
    <dataValidation type="list" allowBlank="1" showInputMessage="1" showErrorMessage="1" sqref="J105 J87 J65 J46" xr:uid="{00000000-0002-0000-0000-000002000000}">
      <formula1>"Yes, No"</formula1>
    </dataValidation>
    <dataValidation type="list" allowBlank="1" showInputMessage="1" showErrorMessage="1" sqref="O94:O96" xr:uid="{00000000-0002-0000-0000-000004000000}">
      <formula1>ReasonForNotChoosing</formula1>
    </dataValidation>
    <dataValidation showInputMessage="1" showErrorMessage="1" sqref="J10:N10" xr:uid="{00000000-0002-0000-0000-000009000000}"/>
    <dataValidation showInputMessage="1" showErrorMessage="1" sqref="J11:N11" xr:uid="{00000000-0002-0000-0000-00000B000000}"/>
  </dataValidations>
  <hyperlinks>
    <hyperlink ref="D51" r:id="rId1" xr:uid="{00000000-0004-0000-0000-000000000000}"/>
    <hyperlink ref="D52" r:id="rId2" xr:uid="{00000000-0004-0000-0000-000001000000}"/>
    <hyperlink ref="D53" r:id="rId3" xr:uid="{00000000-0004-0000-0000-000002000000}"/>
    <hyperlink ref="D54" r:id="rId4" xr:uid="{00000000-0004-0000-0000-000003000000}"/>
    <hyperlink ref="N52" location="'DifferencesID2,3,4'!C9" display="Link" xr:uid="{00000000-0004-0000-0000-000004000000}"/>
    <hyperlink ref="D72" r:id="rId5" xr:uid="{00000000-0004-0000-0000-000005000000}"/>
    <hyperlink ref="D73" r:id="rId6" xr:uid="{00000000-0004-0000-0000-000006000000}"/>
    <hyperlink ref="D74" r:id="rId7" xr:uid="{00000000-0004-0000-0000-000007000000}"/>
    <hyperlink ref="D94" r:id="rId8" xr:uid="{00000000-0004-0000-0000-000008000000}"/>
    <hyperlink ref="D95" r:id="rId9" xr:uid="{00000000-0004-0000-0000-000009000000}"/>
    <hyperlink ref="D96" r:id="rId10" xr:uid="{00000000-0004-0000-0000-00000A000000}"/>
    <hyperlink ref="N95" location="'DifferencesID12,13'!C9" display="Link" xr:uid="{00000000-0004-0000-0000-00000B000000}"/>
    <hyperlink ref="D75" r:id="rId11" xr:uid="{00000000-0004-0000-0000-00000C000000}"/>
    <hyperlink ref="D76" r:id="rId12" xr:uid="{00000000-0004-0000-0000-00000D000000}"/>
    <hyperlink ref="D77" r:id="rId13" xr:uid="{00000000-0004-0000-0000-00000E000000}"/>
    <hyperlink ref="N74" location="'DifferencesID7,8,9,10'!C9" display="Link" xr:uid="{00000000-0004-0000-0000-00000F000000}"/>
    <hyperlink ref="N53:N54" location="'DifferencesID2,3,4'!A1" display="Link" xr:uid="{00000000-0004-0000-0000-000010000000}"/>
    <hyperlink ref="N54" location="'DifferencesID2,3,4'!C55" display="Link" xr:uid="{00000000-0004-0000-0000-000011000000}"/>
    <hyperlink ref="N53" location="'DifferencesID2,3,4'!C32" display="Link" xr:uid="{00000000-0004-0000-0000-000012000000}"/>
    <hyperlink ref="N75:N77" location="'DifferencesID7,8,9,10'!A1" display="Link" xr:uid="{00000000-0004-0000-0000-000013000000}"/>
    <hyperlink ref="N75" location="'DifferencesID7,8,9,10'!C15" display="Link" xr:uid="{00000000-0004-0000-0000-000014000000}"/>
    <hyperlink ref="N76" location="'DifferencesID7,8,9,10'!C21" display="Link" xr:uid="{00000000-0004-0000-0000-000015000000}"/>
    <hyperlink ref="N77" location="'DifferencesID7,8,9,10'!C27" display="Link" xr:uid="{00000000-0004-0000-0000-000016000000}"/>
    <hyperlink ref="N96" location="'DifferencesID12,13'!C23" display="Link" xr:uid="{00000000-0004-0000-0000-000017000000}"/>
    <hyperlink ref="I15" location="ToolsRecognisedbyBREEAM!A1" display="Tools" xr:uid="{00000000-0004-0000-0000-000018000000}"/>
    <hyperlink ref="I22" location="ToolsRecognisedbyBREEAM!A1" display="Tools" xr:uid="{00000000-0004-0000-0000-000019000000}"/>
    <hyperlink ref="B3" location="MAT01_TechnicalDesign!A1" display="Return to Concept Design Sheet" xr:uid="{00000000-0004-0000-0000-00001A000000}"/>
    <hyperlink ref="D3" location="MAT02_EPDSchedule!A1" display="MAT 02 EPD schedule sheet" xr:uid="{00000000-0004-0000-0000-00001B000000}"/>
    <hyperlink ref="D38" r:id="rId14" xr:uid="{00000000-0004-0000-0000-00001C000000}"/>
  </hyperlinks>
  <pageMargins left="0.7" right="0.7" top="0.75" bottom="0.75" header="0.3" footer="0.3"/>
  <pageSetup paperSize="9" orientation="portrait" r:id="rId15"/>
  <drawing r:id="rId16"/>
  <legacyDrawing r:id="rId17"/>
  <extLst>
    <ext xmlns:x14="http://schemas.microsoft.com/office/spreadsheetml/2009/9/main" uri="{78C0D931-6437-407d-A8EE-F0AAD7539E65}">
      <x14:conditionalFormattings>
        <x14:conditionalFormatting xmlns:xm="http://schemas.microsoft.com/office/excel/2006/main">
          <x14:cfRule type="dataBar" id="{1749B3AD-BEB1-4D82-AD30-FA592E232323}">
            <x14:dataBar minLength="0" maxLength="100" border="1" negativeBarBorderColorSameAsPositive="0">
              <x14:cfvo type="autoMin"/>
              <x14:cfvo type="autoMax"/>
              <x14:borderColor rgb="FF638EC6"/>
              <x14:negativeFillColor rgb="FFFF0000"/>
              <x14:negativeBorderColor rgb="FFFF0000"/>
              <x14:axisColor rgb="FF000000"/>
            </x14:dataBar>
          </x14:cfRule>
          <xm:sqref>F51:L51</xm:sqref>
        </x14:conditionalFormatting>
        <x14:conditionalFormatting xmlns:xm="http://schemas.microsoft.com/office/excel/2006/main">
          <x14:cfRule type="dataBar" id="{C7E6A058-A016-4BE6-A69E-8BEE0A48E8B4}">
            <x14:dataBar minLength="0" maxLength="100" border="1" negativeBarBorderColorSameAsPositive="0">
              <x14:cfvo type="autoMin"/>
              <x14:cfvo type="autoMax"/>
              <x14:borderColor rgb="FF638EC6"/>
              <x14:negativeFillColor rgb="FFFF0000"/>
              <x14:negativeBorderColor rgb="FFFF0000"/>
              <x14:axisColor rgb="FF000000"/>
            </x14:dataBar>
          </x14:cfRule>
          <xm:sqref>F52:K52</xm:sqref>
        </x14:conditionalFormatting>
        <x14:conditionalFormatting xmlns:xm="http://schemas.microsoft.com/office/excel/2006/main">
          <x14:cfRule type="dataBar" id="{631B6EC8-81CE-4037-BCD4-537019ABB750}">
            <x14:dataBar minLength="0" maxLength="100" border="1" negativeBarBorderColorSameAsPositive="0">
              <x14:cfvo type="autoMin"/>
              <x14:cfvo type="autoMax"/>
              <x14:borderColor rgb="FFFFB628"/>
              <x14:negativeFillColor rgb="FFFF0000"/>
              <x14:negativeBorderColor rgb="FFFF0000"/>
              <x14:axisColor rgb="FF000000"/>
            </x14:dataBar>
          </x14:cfRule>
          <xm:sqref>F53:K53</xm:sqref>
        </x14:conditionalFormatting>
        <x14:conditionalFormatting xmlns:xm="http://schemas.microsoft.com/office/excel/2006/main">
          <x14:cfRule type="dataBar" id="{6BF1084A-FB09-4B36-A38A-663466342492}">
            <x14:dataBar minLength="0" maxLength="100" border="1" negativeBarBorderColorSameAsPositive="0">
              <x14:cfvo type="autoMin"/>
              <x14:cfvo type="autoMax"/>
              <x14:borderColor rgb="FFD6007B"/>
              <x14:negativeFillColor rgb="FFFF0000"/>
              <x14:negativeBorderColor rgb="FFFF0000"/>
              <x14:axisColor rgb="FF000000"/>
            </x14:dataBar>
          </x14:cfRule>
          <xm:sqref>F54:K54</xm:sqref>
        </x14:conditionalFormatting>
        <x14:conditionalFormatting xmlns:xm="http://schemas.microsoft.com/office/excel/2006/main">
          <x14:cfRule type="dataBar" id="{AAABD0A2-55A4-4049-B984-36D4E7F21953}">
            <x14:dataBar minLength="0" maxLength="100" border="1" negativeBarBorderColorSameAsPositive="0">
              <x14:cfvo type="autoMin"/>
              <x14:cfvo type="autoMax"/>
              <x14:borderColor rgb="FFFF555A"/>
              <x14:negativeFillColor rgb="FFFF0000"/>
              <x14:negativeBorderColor rgb="FFFF0000"/>
              <x14:axisColor rgb="FF000000"/>
            </x14:dataBar>
          </x14:cfRule>
          <xm:sqref>M51:M54</xm:sqref>
        </x14:conditionalFormatting>
        <x14:conditionalFormatting xmlns:xm="http://schemas.microsoft.com/office/excel/2006/main">
          <x14:cfRule type="dataBar" id="{8487E32C-08EE-4A0F-93FB-0B7F357B9F6E}">
            <x14:dataBar minLength="0" maxLength="100" border="1" negativeBarBorderColorSameAsPositive="0">
              <x14:cfvo type="autoMin"/>
              <x14:cfvo type="autoMax"/>
              <x14:borderColor rgb="FF638EC6"/>
              <x14:negativeFillColor rgb="FFFF0000"/>
              <x14:negativeBorderColor rgb="FFFF0000"/>
              <x14:axisColor rgb="FF000000"/>
            </x14:dataBar>
          </x14:cfRule>
          <xm:sqref>F52:L52</xm:sqref>
        </x14:conditionalFormatting>
        <x14:conditionalFormatting xmlns:xm="http://schemas.microsoft.com/office/excel/2006/main">
          <x14:cfRule type="dataBar" id="{0546D1C8-62E1-4054-B784-748C6DD605D9}">
            <x14:dataBar minLength="0" maxLength="100" border="1" negativeBarBorderColorSameAsPositive="0">
              <x14:cfvo type="autoMin"/>
              <x14:cfvo type="autoMax"/>
              <x14:borderColor rgb="FF638EC6"/>
              <x14:negativeFillColor rgb="FFFF0000"/>
              <x14:negativeBorderColor rgb="FFFF0000"/>
              <x14:axisColor rgb="FF000000"/>
            </x14:dataBar>
          </x14:cfRule>
          <xm:sqref>F53:L53</xm:sqref>
        </x14:conditionalFormatting>
        <x14:conditionalFormatting xmlns:xm="http://schemas.microsoft.com/office/excel/2006/main">
          <x14:cfRule type="dataBar" id="{6F73548D-9D19-4B66-B982-2F520C1760BE}">
            <x14:dataBar minLength="0" maxLength="100" border="1" negativeBarBorderColorSameAsPositive="0">
              <x14:cfvo type="autoMin"/>
              <x14:cfvo type="autoMax"/>
              <x14:borderColor rgb="FF638EC6"/>
              <x14:negativeFillColor rgb="FFFF0000"/>
              <x14:negativeBorderColor rgb="FFFF0000"/>
              <x14:axisColor rgb="FF000000"/>
            </x14:dataBar>
          </x14:cfRule>
          <xm:sqref>F54:L54</xm:sqref>
        </x14:conditionalFormatting>
        <x14:conditionalFormatting xmlns:xm="http://schemas.microsoft.com/office/excel/2006/main">
          <x14:cfRule type="dataBar" id="{2148E88C-5382-4125-B845-359CC0F4DDB9}">
            <x14:dataBar minLength="0" maxLength="100" border="1" negativeBarBorderColorSameAsPositive="0">
              <x14:cfvo type="autoMin"/>
              <x14:cfvo type="autoMax"/>
              <x14:borderColor rgb="FF008AEF"/>
              <x14:negativeFillColor rgb="FFFF0000"/>
              <x14:negativeBorderColor rgb="FFFF0000"/>
              <x14:axisColor rgb="FF000000"/>
            </x14:dataBar>
          </x14:cfRule>
          <xm:sqref>F51:F54</xm:sqref>
        </x14:conditionalFormatting>
        <x14:conditionalFormatting xmlns:xm="http://schemas.microsoft.com/office/excel/2006/main">
          <x14:cfRule type="dataBar" id="{7D37DC89-B3CF-431D-9F3D-A5299AAB98A8}">
            <x14:dataBar minLength="0" maxLength="100" border="1" negativeBarBorderColorSameAsPositive="0">
              <x14:cfvo type="autoMin"/>
              <x14:cfvo type="autoMax"/>
              <x14:borderColor rgb="FF008AEF"/>
              <x14:negativeFillColor rgb="FFFF0000"/>
              <x14:negativeBorderColor rgb="FFFF0000"/>
              <x14:axisColor rgb="FF000000"/>
            </x14:dataBar>
          </x14:cfRule>
          <xm:sqref>G51:G54</xm:sqref>
        </x14:conditionalFormatting>
        <x14:conditionalFormatting xmlns:xm="http://schemas.microsoft.com/office/excel/2006/main">
          <x14:cfRule type="dataBar" id="{0B53B36F-94D3-4126-AED0-A1C32D73FD41}">
            <x14:dataBar minLength="0" maxLength="100" border="1" negativeBarBorderColorSameAsPositive="0">
              <x14:cfvo type="autoMin"/>
              <x14:cfvo type="autoMax"/>
              <x14:borderColor rgb="FF008AEF"/>
              <x14:negativeFillColor rgb="FFFF0000"/>
              <x14:negativeBorderColor rgb="FFFF0000"/>
              <x14:axisColor rgb="FF000000"/>
            </x14:dataBar>
          </x14:cfRule>
          <xm:sqref>H51:H54</xm:sqref>
        </x14:conditionalFormatting>
        <x14:conditionalFormatting xmlns:xm="http://schemas.microsoft.com/office/excel/2006/main">
          <x14:cfRule type="dataBar" id="{1D93B31E-EC43-4BAA-A642-EE541EBB5978}">
            <x14:dataBar minLength="0" maxLength="100" border="1" negativeBarBorderColorSameAsPositive="0">
              <x14:cfvo type="autoMin"/>
              <x14:cfvo type="autoMax"/>
              <x14:borderColor rgb="FF008AEF"/>
              <x14:negativeFillColor rgb="FFFF0000"/>
              <x14:negativeBorderColor rgb="FFFF0000"/>
              <x14:axisColor rgb="FF000000"/>
            </x14:dataBar>
          </x14:cfRule>
          <xm:sqref>I51:I54</xm:sqref>
        </x14:conditionalFormatting>
        <x14:conditionalFormatting xmlns:xm="http://schemas.microsoft.com/office/excel/2006/main">
          <x14:cfRule type="dataBar" id="{D868FC4D-3061-4F9A-9177-A37D54CB5E03}">
            <x14:dataBar minLength="0" maxLength="100" border="1" negativeBarBorderColorSameAsPositive="0">
              <x14:cfvo type="autoMin"/>
              <x14:cfvo type="autoMax"/>
              <x14:borderColor rgb="FF008AEF"/>
              <x14:negativeFillColor rgb="FFFF0000"/>
              <x14:negativeBorderColor rgb="FFFF0000"/>
              <x14:axisColor rgb="FF000000"/>
            </x14:dataBar>
          </x14:cfRule>
          <xm:sqref>J51:J54</xm:sqref>
        </x14:conditionalFormatting>
        <x14:conditionalFormatting xmlns:xm="http://schemas.microsoft.com/office/excel/2006/main">
          <x14:cfRule type="dataBar" id="{BD9718F1-3210-458E-9A23-B28E1B72B6CE}">
            <x14:dataBar minLength="0" maxLength="100" border="1" negativeBarBorderColorSameAsPositive="0">
              <x14:cfvo type="autoMin"/>
              <x14:cfvo type="autoMax"/>
              <x14:borderColor rgb="FF008AEF"/>
              <x14:negativeFillColor rgb="FFFF0000"/>
              <x14:negativeBorderColor rgb="FFFF0000"/>
              <x14:axisColor rgb="FF000000"/>
            </x14:dataBar>
          </x14:cfRule>
          <xm:sqref>K51:K54</xm:sqref>
        </x14:conditionalFormatting>
        <x14:conditionalFormatting xmlns:xm="http://schemas.microsoft.com/office/excel/2006/main">
          <x14:cfRule type="dataBar" id="{96F6E014-FC32-4E53-A35D-4A2E0A57ADEE}">
            <x14:dataBar minLength="0" maxLength="100" border="1" negativeBarBorderColorSameAsPositive="0">
              <x14:cfvo type="autoMin"/>
              <x14:cfvo type="autoMax"/>
              <x14:borderColor rgb="FF008AEF"/>
              <x14:negativeFillColor rgb="FFFF0000"/>
              <x14:negativeBorderColor rgb="FFFF0000"/>
              <x14:axisColor rgb="FF000000"/>
            </x14:dataBar>
          </x14:cfRule>
          <xm:sqref>L51:L54</xm:sqref>
        </x14:conditionalFormatting>
        <x14:conditionalFormatting xmlns:xm="http://schemas.microsoft.com/office/excel/2006/main">
          <x14:cfRule type="dataBar" id="{388E0F6A-EBDD-4FE9-8C4F-B1C2294F0978}">
            <x14:dataBar minLength="0" maxLength="100" border="1" negativeBarBorderColorSameAsPositive="0">
              <x14:cfvo type="autoMin"/>
              <x14:cfvo type="autoMax"/>
              <x14:borderColor rgb="FF008AEF"/>
              <x14:negativeFillColor rgb="FFFF0000"/>
              <x14:negativeBorderColor rgb="FFFF0000"/>
              <x14:axisColor rgb="FF000000"/>
            </x14:dataBar>
          </x14:cfRule>
          <xm:sqref>F72:F77</xm:sqref>
        </x14:conditionalFormatting>
        <x14:conditionalFormatting xmlns:xm="http://schemas.microsoft.com/office/excel/2006/main">
          <x14:cfRule type="dataBar" id="{09C59971-DAE5-4AC3-813D-3E69A86980D9}">
            <x14:dataBar minLength="0" maxLength="100" border="1" negativeBarBorderColorSameAsPositive="0">
              <x14:cfvo type="autoMin"/>
              <x14:cfvo type="autoMax"/>
              <x14:borderColor rgb="FF008AEF"/>
              <x14:negativeFillColor rgb="FFFF0000"/>
              <x14:negativeBorderColor rgb="FFFF0000"/>
              <x14:axisColor rgb="FF000000"/>
            </x14:dataBar>
          </x14:cfRule>
          <xm:sqref>G72:G77</xm:sqref>
        </x14:conditionalFormatting>
        <x14:conditionalFormatting xmlns:xm="http://schemas.microsoft.com/office/excel/2006/main">
          <x14:cfRule type="dataBar" id="{711BA903-1EBA-482A-9352-CBFE46AD19D7}">
            <x14:dataBar minLength="0" maxLength="100" border="1" negativeBarBorderColorSameAsPositive="0">
              <x14:cfvo type="autoMin"/>
              <x14:cfvo type="autoMax"/>
              <x14:borderColor rgb="FFFF555A"/>
              <x14:negativeFillColor rgb="FFFF0000"/>
              <x14:negativeBorderColor rgb="FFFF0000"/>
              <x14:axisColor rgb="FF000000"/>
            </x14:dataBar>
          </x14:cfRule>
          <xm:sqref>M72:M77</xm:sqref>
        </x14:conditionalFormatting>
        <x14:conditionalFormatting xmlns:xm="http://schemas.microsoft.com/office/excel/2006/main">
          <x14:cfRule type="dataBar" id="{C5C49196-2FA0-428F-AB51-4CCB0E11A52E}">
            <x14:dataBar minLength="0" maxLength="100" border="1" negativeBarBorderColorSameAsPositive="0">
              <x14:cfvo type="autoMin"/>
              <x14:cfvo type="autoMax"/>
              <x14:borderColor rgb="FF008AEF"/>
              <x14:negativeFillColor rgb="FFFF0000"/>
              <x14:negativeBorderColor rgb="FFFF0000"/>
              <x14:axisColor rgb="FF000000"/>
            </x14:dataBar>
          </x14:cfRule>
          <xm:sqref>F94:F96</xm:sqref>
        </x14:conditionalFormatting>
        <x14:conditionalFormatting xmlns:xm="http://schemas.microsoft.com/office/excel/2006/main">
          <x14:cfRule type="dataBar" id="{B4DF5280-EF8E-4AD6-9919-68370AC028F6}">
            <x14:dataBar minLength="0" maxLength="100" border="1" negativeBarBorderColorSameAsPositive="0">
              <x14:cfvo type="autoMin"/>
              <x14:cfvo type="autoMax"/>
              <x14:borderColor rgb="FF008AEF"/>
              <x14:negativeFillColor rgb="FFFF0000"/>
              <x14:negativeBorderColor rgb="FFFF0000"/>
              <x14:axisColor rgb="FF000000"/>
            </x14:dataBar>
          </x14:cfRule>
          <xm:sqref>G94:G96</xm:sqref>
        </x14:conditionalFormatting>
        <x14:conditionalFormatting xmlns:xm="http://schemas.microsoft.com/office/excel/2006/main">
          <x14:cfRule type="dataBar" id="{D8FCA5DB-C722-4258-9C98-BC223F3ABA1E}">
            <x14:dataBar minLength="0" maxLength="100" border="1" negativeBarBorderColorSameAsPositive="0">
              <x14:cfvo type="autoMin"/>
              <x14:cfvo type="autoMax"/>
              <x14:borderColor rgb="FF008AEF"/>
              <x14:negativeFillColor rgb="FFFF0000"/>
              <x14:negativeBorderColor rgb="FFFF0000"/>
              <x14:axisColor rgb="FF000000"/>
            </x14:dataBar>
          </x14:cfRule>
          <xm:sqref>H94:H96</xm:sqref>
        </x14:conditionalFormatting>
        <x14:conditionalFormatting xmlns:xm="http://schemas.microsoft.com/office/excel/2006/main">
          <x14:cfRule type="dataBar" id="{AD171B1B-ABC7-4BB6-BF9D-21FACB962BBB}">
            <x14:dataBar minLength="0" maxLength="100" border="1" negativeBarBorderColorSameAsPositive="0">
              <x14:cfvo type="autoMin"/>
              <x14:cfvo type="autoMax"/>
              <x14:borderColor rgb="FF008AEF"/>
              <x14:negativeFillColor rgb="FFFF0000"/>
              <x14:negativeBorderColor rgb="FFFF0000"/>
              <x14:axisColor rgb="FF000000"/>
            </x14:dataBar>
          </x14:cfRule>
          <xm:sqref>I94:I96</xm:sqref>
        </x14:conditionalFormatting>
        <x14:conditionalFormatting xmlns:xm="http://schemas.microsoft.com/office/excel/2006/main">
          <x14:cfRule type="dataBar" id="{597ED585-A9D8-4BC7-A857-8E5AAE324351}">
            <x14:dataBar minLength="0" maxLength="100" border="1" negativeBarBorderColorSameAsPositive="0">
              <x14:cfvo type="autoMin"/>
              <x14:cfvo type="autoMax"/>
              <x14:borderColor rgb="FFFF555A"/>
              <x14:negativeFillColor rgb="FFFF0000"/>
              <x14:negativeBorderColor rgb="FFFF0000"/>
              <x14:axisColor rgb="FF000000"/>
            </x14:dataBar>
          </x14:cfRule>
          <xm:sqref>M94:M96</xm:sqref>
        </x14:conditionalFormatting>
        <x14:conditionalFormatting xmlns:xm="http://schemas.microsoft.com/office/excel/2006/main">
          <x14:cfRule type="expression" priority="1" id="{F47048CD-4F4A-4646-B405-6E8DED023D2B}">
            <xm:f>$B$34=Lookups!$B$58</xm:f>
            <x14:dxf>
              <font>
                <color theme="0" tint="-0.14996795556505021"/>
              </font>
              <fill>
                <patternFill>
                  <bgColor theme="0" tint="-0.14996795556505021"/>
                </patternFill>
              </fill>
            </x14:dxf>
          </x14:cfRule>
          <xm:sqref>B38:M38 J40:N43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3D6864"/>
  </sheetPr>
  <dimension ref="A1:V75"/>
  <sheetViews>
    <sheetView showGridLines="0" topLeftCell="A4" zoomScale="70" zoomScaleNormal="70" workbookViewId="0">
      <selection activeCell="J13" sqref="J13:N13"/>
    </sheetView>
  </sheetViews>
  <sheetFormatPr defaultColWidth="0" defaultRowHeight="21" zeroHeight="1" x14ac:dyDescent="0.25"/>
  <cols>
    <col min="1" max="1" width="5.7109375" style="195" customWidth="1"/>
    <col min="2" max="2" width="5.42578125" style="196" customWidth="1"/>
    <col min="3" max="3" width="28.42578125" style="196" customWidth="1"/>
    <col min="4" max="4" width="8.85546875" style="196" customWidth="1"/>
    <col min="5" max="5" width="11.140625" style="196" customWidth="1"/>
    <col min="6" max="7" width="15.28515625" style="196" customWidth="1"/>
    <col min="8" max="8" width="20.5703125" style="196" customWidth="1"/>
    <col min="9" max="9" width="18.28515625" style="196" customWidth="1"/>
    <col min="10" max="13" width="15.28515625" style="196" customWidth="1"/>
    <col min="14" max="14" width="17.5703125" style="196" customWidth="1"/>
    <col min="15" max="15" width="31.7109375" style="196" customWidth="1"/>
    <col min="16" max="16" width="22.42578125" style="196" customWidth="1"/>
    <col min="17" max="17" width="3.7109375" style="197" customWidth="1"/>
    <col min="18" max="18" width="11.7109375" style="196" hidden="1" customWidth="1"/>
    <col min="19" max="19" width="25.7109375" style="196" hidden="1" customWidth="1"/>
    <col min="20" max="20" width="16.28515625" style="196" hidden="1" customWidth="1"/>
    <col min="21" max="22" width="0" style="196" hidden="1" customWidth="1"/>
    <col min="23" max="16384" width="9.140625" style="196" hidden="1"/>
  </cols>
  <sheetData>
    <row r="1" spans="1:18" x14ac:dyDescent="0.25"/>
    <row r="2" spans="1:18" ht="56.45" customHeight="1" x14ac:dyDescent="0.25">
      <c r="B2" s="393" t="str">
        <f>MAT01_ConceptDesign!B2</f>
        <v>BREEAM UK NC (2018) Mat 01/02 Results Submission Tool</v>
      </c>
      <c r="C2" s="393"/>
      <c r="D2" s="393"/>
      <c r="E2" s="393"/>
      <c r="F2" s="393"/>
      <c r="G2" s="393"/>
      <c r="H2" s="393"/>
      <c r="I2" s="393"/>
      <c r="J2" s="393"/>
      <c r="K2" s="393"/>
      <c r="L2" s="393"/>
      <c r="M2" s="393"/>
      <c r="N2" s="393"/>
      <c r="O2" s="393"/>
    </row>
    <row r="3" spans="1:18" x14ac:dyDescent="0.25">
      <c r="B3" s="199" t="s">
        <v>170</v>
      </c>
      <c r="D3" s="199" t="s">
        <v>172</v>
      </c>
    </row>
    <row r="4" spans="1:18" x14ac:dyDescent="0.35">
      <c r="B4" s="201">
        <f ca="1">IF(COUNT(A:A)&lt;&gt;0,COUNT(A:A),"")</f>
        <v>1</v>
      </c>
      <c r="C4" s="202" t="str">
        <f ca="1">IF(B4&lt;&gt;"","ITEMS NEED ATTENTION BEFORE TECHNICAL DESIGN SUBMISSION. NO CREDIT RESULTS CAN BE SHOWN.","")</f>
        <v>ITEMS NEED ATTENTION BEFORE TECHNICAL DESIGN SUBMISSION. NO CREDIT RESULTS CAN BE SHOWN.</v>
      </c>
    </row>
    <row r="5" spans="1:18" x14ac:dyDescent="0.25"/>
    <row r="6" spans="1:18" s="197" customFormat="1" ht="31.9" customHeight="1" x14ac:dyDescent="0.25">
      <c r="A6" s="195"/>
      <c r="B6" s="290" t="s">
        <v>114</v>
      </c>
      <c r="C6" s="291"/>
      <c r="D6" s="292"/>
      <c r="E6" s="293"/>
      <c r="F6" s="294"/>
      <c r="G6" s="294"/>
      <c r="H6" s="294"/>
      <c r="I6" s="294"/>
      <c r="J6" s="294"/>
      <c r="K6" s="294"/>
      <c r="L6" s="294"/>
      <c r="M6" s="294"/>
      <c r="N6" s="294"/>
      <c r="O6" s="294"/>
      <c r="P6" s="294"/>
    </row>
    <row r="7" spans="1:18" s="197" customFormat="1" ht="16.149999999999999" customHeight="1" x14ac:dyDescent="0.35">
      <c r="A7" s="195"/>
      <c r="B7" s="295"/>
      <c r="C7" s="296"/>
      <c r="D7" s="297"/>
      <c r="E7" s="298"/>
      <c r="F7" s="299"/>
      <c r="G7" s="299"/>
      <c r="H7" s="299"/>
      <c r="I7" s="299"/>
      <c r="J7" s="299"/>
      <c r="K7" s="299"/>
      <c r="L7" s="299"/>
      <c r="M7" s="299"/>
      <c r="N7" s="299"/>
      <c r="O7" s="299"/>
      <c r="P7" s="299"/>
    </row>
    <row r="8" spans="1:18" s="197" customFormat="1" ht="16.149999999999999" customHeight="1" thickBot="1" x14ac:dyDescent="0.3">
      <c r="A8" s="195"/>
      <c r="B8" s="206" t="s">
        <v>48</v>
      </c>
      <c r="C8" s="207"/>
      <c r="D8" s="207"/>
      <c r="E8" s="208"/>
      <c r="F8" s="208"/>
      <c r="G8" s="208"/>
      <c r="H8" s="208"/>
      <c r="I8" s="208"/>
      <c r="J8" s="208"/>
      <c r="K8" s="208"/>
      <c r="L8" s="208"/>
      <c r="M8" s="208"/>
      <c r="N8" s="209"/>
      <c r="O8" s="208"/>
      <c r="P8" s="208"/>
    </row>
    <row r="9" spans="1:18" s="197" customFormat="1" ht="16.149999999999999" customHeight="1" x14ac:dyDescent="0.35">
      <c r="A9" s="195"/>
      <c r="B9" s="295"/>
      <c r="C9" s="296"/>
      <c r="D9" s="297"/>
      <c r="E9" s="298"/>
      <c r="F9" s="299"/>
      <c r="G9" s="299"/>
      <c r="H9" s="299"/>
      <c r="I9" s="299"/>
      <c r="J9" s="299"/>
      <c r="K9" s="299"/>
      <c r="L9" s="299"/>
      <c r="M9" s="299"/>
      <c r="N9" s="299"/>
      <c r="O9" s="299"/>
      <c r="P9" s="299"/>
    </row>
    <row r="10" spans="1:18" s="197" customFormat="1" ht="16.149999999999999" customHeight="1" x14ac:dyDescent="0.25">
      <c r="A10" s="203">
        <f>IF(J10="",1,"")</f>
        <v>1</v>
      </c>
      <c r="B10" s="210" t="s">
        <v>164</v>
      </c>
      <c r="C10" s="211"/>
      <c r="D10" s="212"/>
      <c r="E10" s="212"/>
      <c r="F10" s="212"/>
      <c r="G10" s="212"/>
      <c r="H10" s="212"/>
      <c r="I10" s="212"/>
      <c r="J10" s="405" t="str">
        <f>IF(MAT01_ConceptDesign!J10&lt;&gt;"",MAT01_ConceptDesign!J10,"")</f>
        <v/>
      </c>
      <c r="K10" s="405"/>
      <c r="L10" s="405"/>
      <c r="M10" s="405"/>
      <c r="N10" s="405"/>
      <c r="O10" s="299"/>
      <c r="P10" s="299"/>
    </row>
    <row r="11" spans="1:18" s="197" customFormat="1" ht="16.149999999999999" customHeight="1" x14ac:dyDescent="0.25">
      <c r="A11" s="203"/>
      <c r="B11" s="210" t="s">
        <v>256</v>
      </c>
      <c r="C11" s="211"/>
      <c r="D11" s="212"/>
      <c r="E11" s="212"/>
      <c r="F11" s="212"/>
      <c r="G11" s="212"/>
      <c r="H11" s="212"/>
      <c r="I11" s="212"/>
      <c r="J11" s="400" t="str">
        <f>IF(MAT01_ConceptDesign!J11&lt;&gt;"",MAT01_ConceptDesign!J11,"")</f>
        <v/>
      </c>
      <c r="K11" s="400"/>
      <c r="L11" s="400"/>
      <c r="M11" s="400"/>
      <c r="N11" s="400"/>
      <c r="O11" s="299"/>
      <c r="P11" s="299"/>
    </row>
    <row r="12" spans="1:18" s="204" customFormat="1" ht="16.149999999999999" customHeight="1" x14ac:dyDescent="0.25">
      <c r="A12" s="203" t="str">
        <f>IF(J12="",1,"")</f>
        <v/>
      </c>
      <c r="B12" s="210" t="str">
        <f>IF(J10&lt;&gt;"","Functional quantity 1 during Technical Design ("&amp;VLOOKUP($J$10,FunctionalUnit,3,FALSE)&amp;"):","")</f>
        <v/>
      </c>
      <c r="C12" s="210"/>
      <c r="D12" s="300"/>
      <c r="E12" s="300"/>
      <c r="F12" s="300"/>
      <c r="G12" s="300"/>
      <c r="H12" s="300"/>
      <c r="I12" s="300"/>
      <c r="J12" s="376">
        <f>InteractiveReadyReckoner!L62</f>
        <v>1</v>
      </c>
      <c r="K12" s="376"/>
      <c r="L12" s="376"/>
      <c r="M12" s="376"/>
      <c r="N12" s="376"/>
      <c r="O12" s="216"/>
      <c r="P12" s="216"/>
      <c r="Q12" s="214"/>
      <c r="R12" s="197"/>
    </row>
    <row r="13" spans="1:18" s="204" customFormat="1" ht="16.149999999999999" customHeight="1" x14ac:dyDescent="0.25">
      <c r="A13" s="203"/>
      <c r="B13" s="210" t="str">
        <f>IF(J10&lt;&gt;"","Functional quantity 2 during Technical Design ("&amp;VLOOKUP($J$10,FunctionalUnit,4,FALSE)&amp;"):","")</f>
        <v/>
      </c>
      <c r="C13" s="210"/>
      <c r="D13" s="300"/>
      <c r="E13" s="300"/>
      <c r="F13" s="300"/>
      <c r="G13" s="300"/>
      <c r="H13" s="300"/>
      <c r="I13" s="300"/>
      <c r="J13" s="376"/>
      <c r="K13" s="376"/>
      <c r="L13" s="376"/>
      <c r="M13" s="376"/>
      <c r="N13" s="376"/>
      <c r="O13" s="216"/>
      <c r="P13" s="216"/>
      <c r="Q13" s="214"/>
      <c r="R13" s="197"/>
    </row>
    <row r="14" spans="1:18" s="197" customFormat="1" ht="16.149999999999999" customHeight="1" x14ac:dyDescent="0.35">
      <c r="A14" s="203"/>
      <c r="B14" s="295"/>
      <c r="C14" s="296"/>
      <c r="D14" s="297"/>
      <c r="E14" s="298"/>
      <c r="F14" s="299"/>
      <c r="G14" s="299"/>
      <c r="H14" s="299"/>
      <c r="I14" s="299"/>
      <c r="J14" s="299"/>
      <c r="K14" s="299"/>
      <c r="L14" s="299"/>
      <c r="M14" s="299"/>
      <c r="N14" s="299"/>
      <c r="O14" s="299"/>
      <c r="P14" s="299"/>
    </row>
    <row r="15" spans="1:18" s="204" customFormat="1" ht="14.45" customHeight="1" x14ac:dyDescent="0.25">
      <c r="A15" s="203"/>
      <c r="B15" s="210" t="s">
        <v>273</v>
      </c>
      <c r="C15" s="210"/>
      <c r="D15" s="300"/>
      <c r="E15" s="300"/>
      <c r="F15" s="300"/>
      <c r="G15" s="300"/>
      <c r="H15" s="300"/>
      <c r="I15" s="215" t="s">
        <v>169</v>
      </c>
      <c r="J15" s="376" t="str">
        <f>InteractiveReadyReckoner!L54</f>
        <v/>
      </c>
      <c r="K15" s="376"/>
      <c r="L15" s="376"/>
      <c r="M15" s="376"/>
      <c r="N15" s="376"/>
      <c r="O15" s="216"/>
      <c r="P15" s="197"/>
      <c r="Q15" s="197"/>
    </row>
    <row r="16" spans="1:18" s="204" customFormat="1" ht="14.45" customHeight="1" x14ac:dyDescent="0.25">
      <c r="A16" s="203" t="str">
        <f t="shared" ref="A16:A17" si="0">IF(B16&lt;&gt;"",1,"")</f>
        <v/>
      </c>
      <c r="B16" s="217" t="str">
        <f>IFERROR(IF(AND(OR(J11="Part new-build part refurbishment",J11="Simple building",VLOOKUP(J10,Lookups!$B$10:$F$23,5,FALSE)="N"),SelectedToolBMRIBAStage4&lt;&gt;""),"Superstructure comparison with the BREEAM benchmark is not possible for this building use type. No tool should be selected.",""),"")</f>
        <v/>
      </c>
      <c r="C16" s="217"/>
      <c r="D16" s="217"/>
      <c r="E16" s="217"/>
      <c r="F16" s="217"/>
      <c r="G16" s="217"/>
      <c r="H16" s="218"/>
      <c r="I16" s="218"/>
      <c r="J16" s="218"/>
      <c r="K16" s="218"/>
      <c r="L16" s="218"/>
      <c r="M16" s="218"/>
      <c r="N16" s="218"/>
      <c r="O16" s="219"/>
      <c r="P16" s="197"/>
      <c r="Q16" s="214"/>
    </row>
    <row r="17" spans="1:18" s="204" customFormat="1" ht="14.45" customHeight="1" x14ac:dyDescent="0.25">
      <c r="A17" s="203" t="str">
        <f t="shared" si="0"/>
        <v/>
      </c>
      <c r="B17" s="217" t="str">
        <f>IFERROR(IF(AND(J11&lt;&gt;"Part new-build part refurbishment",J11&lt;&gt;"Simple building",VLOOKUP($J$10,Lookups!$B$10:$F$23,5,FALSE)="Y",SelectedToolBMRIBAStage4="",J19="Yes"),"Superstructure comparison with the BREEAM benchmark during Technical Design must be done for this building type if option appraisal during Technical Design is done.",""),"")</f>
        <v/>
      </c>
      <c r="C17" s="217"/>
      <c r="D17" s="217"/>
      <c r="E17" s="217"/>
      <c r="F17" s="217"/>
      <c r="G17" s="217"/>
      <c r="H17" s="218"/>
      <c r="I17" s="218"/>
      <c r="J17" s="218"/>
      <c r="K17" s="218"/>
      <c r="L17" s="218"/>
      <c r="M17" s="218"/>
      <c r="N17" s="218"/>
      <c r="O17" s="219"/>
      <c r="P17" s="197"/>
      <c r="Q17" s="214"/>
    </row>
    <row r="18" spans="1:18" s="197" customFormat="1" ht="16.149999999999999" customHeight="1" x14ac:dyDescent="0.35">
      <c r="A18" s="203"/>
      <c r="B18" s="295"/>
      <c r="C18" s="296"/>
      <c r="D18" s="297"/>
      <c r="E18" s="298"/>
      <c r="F18" s="299"/>
      <c r="G18" s="299"/>
      <c r="H18" s="299"/>
      <c r="I18" s="299"/>
      <c r="J18" s="299"/>
      <c r="K18" s="299"/>
      <c r="L18" s="299"/>
      <c r="M18" s="299"/>
      <c r="N18" s="299"/>
      <c r="O18" s="299"/>
      <c r="P18" s="299"/>
    </row>
    <row r="19" spans="1:18" s="204" customFormat="1" ht="16.149999999999999" customHeight="1" x14ac:dyDescent="0.25">
      <c r="A19" s="203" t="str">
        <f>IF(J19="",1,"")</f>
        <v/>
      </c>
      <c r="B19" s="210" t="s">
        <v>99</v>
      </c>
      <c r="C19" s="210"/>
      <c r="D19" s="280"/>
      <c r="E19" s="280"/>
      <c r="F19" s="280"/>
      <c r="G19" s="280"/>
      <c r="H19" s="280"/>
      <c r="I19" s="280"/>
      <c r="J19" s="398" t="str">
        <f>InteractiveReadyReckoner!L64</f>
        <v>No</v>
      </c>
      <c r="K19" s="376"/>
      <c r="L19" s="376"/>
      <c r="M19" s="376"/>
      <c r="N19" s="376"/>
      <c r="O19" s="196"/>
      <c r="P19" s="216"/>
      <c r="Q19" s="197"/>
      <c r="R19" s="197"/>
    </row>
    <row r="20" spans="1:18" ht="16.149999999999999" customHeight="1" x14ac:dyDescent="0.25">
      <c r="A20" s="203"/>
      <c r="B20" s="210" t="s">
        <v>100</v>
      </c>
      <c r="C20" s="210"/>
      <c r="D20" s="300"/>
      <c r="E20" s="300"/>
      <c r="F20" s="211"/>
      <c r="G20" s="279"/>
      <c r="H20" s="300"/>
      <c r="I20" s="215" t="s">
        <v>169</v>
      </c>
      <c r="J20" s="376" t="str">
        <f>InteractiveReadyReckoner!L63</f>
        <v/>
      </c>
      <c r="K20" s="376"/>
      <c r="L20" s="376"/>
      <c r="M20" s="376"/>
      <c r="N20" s="376"/>
      <c r="P20" s="197"/>
    </row>
    <row r="21" spans="1:18" ht="16.149999999999999" customHeight="1" x14ac:dyDescent="0.25">
      <c r="A21" s="203"/>
      <c r="B21" s="222" t="s">
        <v>91</v>
      </c>
      <c r="C21" s="222"/>
      <c r="D21" s="301"/>
      <c r="E21" s="211"/>
      <c r="F21" s="211"/>
      <c r="G21" s="211"/>
      <c r="H21" s="211"/>
      <c r="I21" s="211"/>
      <c r="J21" s="402" t="str">
        <f>IF(SelectedToolOARIBAStage4&lt;&gt;"",VLOOKUP(SelectedToolOARIBAStage4,ToolsRecognisedbyBREEAM!$B$10:$D$17,3,FALSE),"")</f>
        <v/>
      </c>
      <c r="K21" s="403"/>
      <c r="L21" s="403"/>
      <c r="M21" s="403"/>
      <c r="N21" s="404"/>
      <c r="P21" s="197"/>
    </row>
    <row r="22" spans="1:18" ht="16.149999999999999" customHeight="1" x14ac:dyDescent="0.25">
      <c r="A22" s="203"/>
      <c r="B22" s="222" t="s">
        <v>77</v>
      </c>
      <c r="C22" s="222"/>
      <c r="D22" s="301"/>
      <c r="E22" s="211"/>
      <c r="F22" s="211"/>
      <c r="G22" s="211"/>
      <c r="H22" s="211"/>
      <c r="I22" s="211"/>
      <c r="J22" s="400" t="str">
        <f>IF(SelectedToolOARIBAStage4&lt;&gt;"",VLOOKUP(SelectedToolOARIBAStage4,ToolsRecognisedbyBREEAM!$B$10:$H$17,7,FALSE),"")</f>
        <v/>
      </c>
      <c r="K22" s="400"/>
      <c r="L22" s="400"/>
      <c r="M22" s="400"/>
      <c r="N22" s="400"/>
      <c r="P22" s="197"/>
    </row>
    <row r="23" spans="1:18" ht="16.149999999999999" customHeight="1" x14ac:dyDescent="0.25">
      <c r="A23" s="203"/>
      <c r="B23" s="222" t="s">
        <v>218</v>
      </c>
      <c r="C23" s="222"/>
      <c r="D23" s="301"/>
      <c r="E23" s="211"/>
      <c r="F23" s="211"/>
      <c r="G23" s="211"/>
      <c r="H23" s="211"/>
      <c r="I23" s="211"/>
      <c r="J23" s="373" t="str">
        <f>IF(SelectedToolOARIBAStage4&lt;&gt;"",VLOOKUP(SelectedToolOARIBAStage4,RecognisedToolsEnvImpactComparisonUnit,9,FALSE),"")</f>
        <v/>
      </c>
      <c r="K23" s="374"/>
      <c r="L23" s="374"/>
      <c r="M23" s="374"/>
      <c r="N23" s="375"/>
      <c r="P23" s="197"/>
    </row>
    <row r="24" spans="1:18" s="204" customFormat="1" ht="14.45" customHeight="1" x14ac:dyDescent="0.25">
      <c r="A24" s="203"/>
      <c r="B24" s="230" t="str">
        <f>IF(AND(SelectedToolOA&lt;&gt;"",SelectedToolOARIBAStage4&lt;&gt;"",SelectedToolOARIBAStage4&lt;&gt;SelectedToolOA),"***The tool selected is not the same as the tool used for the Concept Stage. This is acceptible but please note that the results may not be comparable with the Concept Stage results***","")</f>
        <v/>
      </c>
      <c r="C24" s="224"/>
      <c r="D24" s="217"/>
      <c r="E24" s="217"/>
      <c r="F24" s="217"/>
      <c r="G24" s="217"/>
      <c r="H24" s="218"/>
      <c r="I24" s="218"/>
      <c r="J24" s="224"/>
      <c r="K24" s="224"/>
      <c r="L24" s="224"/>
      <c r="M24" s="224"/>
      <c r="N24" s="224"/>
      <c r="O24" s="219"/>
      <c r="P24" s="197"/>
      <c r="Q24" s="197"/>
    </row>
    <row r="25" spans="1:18" s="204" customFormat="1" ht="14.45" customHeight="1" x14ac:dyDescent="0.25">
      <c r="A25" s="203" t="str">
        <f>IF(B25&lt;&gt;"",1,"")</f>
        <v/>
      </c>
      <c r="B25" s="217" t="str">
        <f>IF(AND(SelectedToolOARIBAStage4="",J19="yes"),"Options appraisal is indicated as done. A tool must be selected.","")</f>
        <v/>
      </c>
      <c r="C25" s="217"/>
      <c r="D25" s="217"/>
      <c r="E25" s="217"/>
      <c r="F25" s="217"/>
      <c r="G25" s="217"/>
      <c r="H25" s="218"/>
      <c r="I25" s="218"/>
      <c r="J25" s="224"/>
      <c r="K25" s="224"/>
      <c r="L25" s="224"/>
      <c r="M25" s="224"/>
      <c r="N25" s="224"/>
      <c r="O25" s="196"/>
      <c r="P25" s="197"/>
      <c r="Q25" s="214"/>
    </row>
    <row r="26" spans="1:18" s="204" customFormat="1" ht="14.45" customHeight="1" x14ac:dyDescent="0.25">
      <c r="A26" s="203" t="str">
        <f>IF(B26&lt;&gt;"",1,"")</f>
        <v/>
      </c>
      <c r="B26" s="217" t="str">
        <f>IF(AND(SelectedToolBMRIBAStage4&lt;&gt;"",SelectedToolOARIBAStage4&lt;&gt;"",COUNTIF(RecognisedToolsBM,SelectedToolOARIBAStage4)&gt;=1,SelectedToolBMRIBAStage4&lt;&gt;SelectedToolOARIBAStage4),"The tool selected for options appraisal is also suitable for 'comparion with the BREEAM benchmark'. One of them must be selected for both.","")</f>
        <v/>
      </c>
      <c r="C26" s="217"/>
      <c r="D26" s="217"/>
      <c r="E26" s="217"/>
      <c r="F26" s="217"/>
      <c r="G26" s="217"/>
      <c r="H26" s="218"/>
      <c r="I26" s="218"/>
      <c r="J26" s="224"/>
      <c r="K26" s="224"/>
      <c r="L26" s="224"/>
      <c r="M26" s="224"/>
      <c r="N26" s="224"/>
      <c r="O26" s="196"/>
      <c r="P26" s="197"/>
      <c r="Q26" s="214"/>
    </row>
    <row r="27" spans="1:18" ht="16.149999999999999" customHeight="1" x14ac:dyDescent="0.25">
      <c r="A27" s="203"/>
      <c r="C27" s="227"/>
      <c r="D27" s="302"/>
      <c r="E27" s="197"/>
      <c r="F27" s="197"/>
      <c r="G27" s="197"/>
      <c r="H27" s="197"/>
      <c r="I27" s="197"/>
      <c r="J27" s="197"/>
      <c r="K27" s="197"/>
      <c r="L27" s="197"/>
      <c r="M27" s="197"/>
      <c r="N27" s="197"/>
      <c r="P27" s="197"/>
    </row>
    <row r="28" spans="1:18" s="197" customFormat="1" ht="21.75" thickBot="1" x14ac:dyDescent="0.3">
      <c r="A28" s="203"/>
      <c r="B28" s="206" t="s">
        <v>237</v>
      </c>
      <c r="C28" s="207"/>
      <c r="D28" s="207"/>
      <c r="E28" s="208"/>
      <c r="F28" s="208"/>
      <c r="G28" s="208"/>
      <c r="H28" s="208"/>
      <c r="I28" s="208"/>
      <c r="J28" s="208"/>
      <c r="K28" s="208"/>
      <c r="L28" s="208"/>
      <c r="M28" s="208"/>
      <c r="N28" s="209"/>
      <c r="O28" s="208"/>
      <c r="P28" s="208"/>
    </row>
    <row r="29" spans="1:18" s="197" customFormat="1" ht="16.149999999999999" customHeight="1" x14ac:dyDescent="0.25">
      <c r="A29" s="203"/>
      <c r="B29" s="228"/>
      <c r="C29" s="229"/>
      <c r="D29" s="229"/>
      <c r="N29" s="205"/>
    </row>
    <row r="30" spans="1:18" s="197" customFormat="1" ht="16.149999999999999" customHeight="1" x14ac:dyDescent="0.25">
      <c r="A30" s="203"/>
      <c r="B30" s="230" t="str">
        <f>IF(SelectedToolBMRIBAStage4&lt;&gt;"",Note_DD_benchmark_file,Note_No_DDBenchmark)</f>
        <v>Comparion with the benchmark not done. This section n/a. A blank 'Mat01_DD_SuperS_B' data file shall be saved in the same folder as this file.</v>
      </c>
      <c r="C30" s="231"/>
      <c r="D30" s="232"/>
      <c r="E30" s="232"/>
      <c r="F30" s="232"/>
      <c r="G30" s="232"/>
      <c r="H30" s="232"/>
      <c r="I30" s="232"/>
      <c r="J30" s="224"/>
      <c r="K30" s="224"/>
      <c r="L30" s="224"/>
      <c r="M30" s="224"/>
      <c r="N30" s="224"/>
    </row>
    <row r="31" spans="1:18" s="197" customFormat="1" ht="16.149999999999999" customHeight="1" x14ac:dyDescent="0.25">
      <c r="A31" s="203"/>
      <c r="B31" s="228"/>
      <c r="C31" s="229"/>
      <c r="D31" s="229"/>
      <c r="N31" s="205"/>
    </row>
    <row r="32" spans="1:18" s="197" customFormat="1" ht="72" customHeight="1" x14ac:dyDescent="0.25">
      <c r="A32" s="203"/>
      <c r="B32" s="361" t="s">
        <v>6</v>
      </c>
      <c r="C32" s="362"/>
      <c r="D32" s="363" t="s">
        <v>75</v>
      </c>
      <c r="E32" s="363" t="s">
        <v>31</v>
      </c>
      <c r="F32" s="370" t="s">
        <v>338</v>
      </c>
      <c r="G32" s="371"/>
      <c r="H32" s="371"/>
      <c r="I32" s="371"/>
      <c r="J32" s="371"/>
      <c r="K32" s="371"/>
      <c r="L32" s="371"/>
      <c r="M32" s="372"/>
    </row>
    <row r="33" spans="1:19" s="197" customFormat="1" ht="28.9" customHeight="1" x14ac:dyDescent="0.25">
      <c r="A33" s="203"/>
      <c r="B33" s="233" t="s">
        <v>4</v>
      </c>
      <c r="C33" s="234" t="s">
        <v>5</v>
      </c>
      <c r="D33" s="364"/>
      <c r="E33" s="364"/>
      <c r="F33" s="235" t="str">
        <f>Classification!$C$3</f>
        <v>2.1 Frame</v>
      </c>
      <c r="G33" s="235" t="str">
        <f>Classification!$C$4</f>
        <v>2.2 Upper floors</v>
      </c>
      <c r="H33" s="235" t="str">
        <f>Classification!$C$5</f>
        <v>2.3 Roof</v>
      </c>
      <c r="I33" s="235" t="str">
        <f>Classification!$C$6</f>
        <v>2.4 Stairs and ramps</v>
      </c>
      <c r="J33" s="235" t="str">
        <f>Classification!$C$7</f>
        <v>2.5 External walls</v>
      </c>
      <c r="K33" s="235" t="str">
        <f>Classification!$C$8</f>
        <v>2.6 Windows and external doors</v>
      </c>
      <c r="L33" s="235" t="str">
        <f>Classification!$C$9</f>
        <v>2.7 Internal walls and partitions</v>
      </c>
      <c r="M33" s="235" t="s">
        <v>11</v>
      </c>
    </row>
    <row r="34" spans="1:19" s="197" customFormat="1" ht="16.149999999999999" customHeight="1" x14ac:dyDescent="0.25">
      <c r="A34" s="203"/>
      <c r="B34" s="236" t="s">
        <v>252</v>
      </c>
      <c r="C34" s="236" t="s">
        <v>251</v>
      </c>
      <c r="D34" s="237" t="s">
        <v>7</v>
      </c>
      <c r="E34" s="238">
        <f>J12</f>
        <v>1</v>
      </c>
      <c r="F34" s="239">
        <v>0</v>
      </c>
      <c r="G34" s="239">
        <v>0</v>
      </c>
      <c r="H34" s="239">
        <v>0</v>
      </c>
      <c r="I34" s="239">
        <v>0</v>
      </c>
      <c r="J34" s="239">
        <v>0</v>
      </c>
      <c r="K34" s="239">
        <v>0</v>
      </c>
      <c r="L34" s="239">
        <v>0</v>
      </c>
      <c r="M34" s="239">
        <f>SUM(F34:L34)</f>
        <v>0</v>
      </c>
    </row>
    <row r="35" spans="1:19" s="197" customFormat="1" ht="16.149999999999999" customHeight="1" x14ac:dyDescent="0.25">
      <c r="A35" s="203"/>
      <c r="B35" s="228"/>
      <c r="C35" s="229"/>
      <c r="D35" s="229"/>
      <c r="N35" s="205"/>
    </row>
    <row r="36" spans="1:19" s="197" customFormat="1" ht="16.149999999999999" customHeight="1" x14ac:dyDescent="0.25">
      <c r="A36" s="203"/>
      <c r="B36" s="228"/>
      <c r="C36" s="229"/>
      <c r="D36" s="229"/>
      <c r="N36" s="205"/>
    </row>
    <row r="37" spans="1:19" s="197" customFormat="1" ht="16.149999999999999" customHeight="1" x14ac:dyDescent="0.25">
      <c r="A37" s="203"/>
      <c r="B37" s="222" t="str">
        <f>"Result from tool (BRE EN ecopoints / m2 NIA):"</f>
        <v>Result from tool (BRE EN ecopoints / m2 NIA):</v>
      </c>
      <c r="C37" s="211"/>
      <c r="D37" s="221"/>
      <c r="E37" s="221"/>
      <c r="F37" s="221"/>
      <c r="G37" s="221"/>
      <c r="H37" s="221"/>
      <c r="I37" s="221"/>
      <c r="J37" s="394">
        <f>M34</f>
        <v>0</v>
      </c>
      <c r="K37" s="394"/>
      <c r="L37" s="394"/>
      <c r="M37" s="394"/>
      <c r="N37" s="394"/>
    </row>
    <row r="38" spans="1:19" s="197" customFormat="1" ht="16.149999999999999" customHeight="1" x14ac:dyDescent="0.25">
      <c r="A38" s="203"/>
      <c r="B38" s="222" t="s">
        <v>337</v>
      </c>
      <c r="C38" s="222"/>
      <c r="D38" s="303"/>
      <c r="E38" s="211"/>
      <c r="F38" s="211"/>
      <c r="G38" s="211"/>
      <c r="H38" s="211"/>
      <c r="I38" s="211"/>
      <c r="J38" s="395" t="str">
        <f>IF(OR(J11="Part new-build part refurbishment",J11="Simple building",SelectedToolBMRIBAStage4="",J37=""),"N/A",VLOOKUP($J$10,BUTBenchmarks,6,FALSE))</f>
        <v>N/A</v>
      </c>
      <c r="K38" s="395"/>
      <c r="L38" s="395"/>
      <c r="M38" s="395"/>
      <c r="N38" s="395"/>
    </row>
    <row r="39" spans="1:19" s="197" customFormat="1" ht="16.149999999999999" customHeight="1" x14ac:dyDescent="0.25">
      <c r="A39" s="203"/>
      <c r="B39" s="222" t="s">
        <v>95</v>
      </c>
      <c r="C39" s="222"/>
      <c r="D39" s="303"/>
      <c r="E39" s="211"/>
      <c r="F39" s="211"/>
      <c r="G39" s="211"/>
      <c r="H39" s="211"/>
      <c r="I39" s="211"/>
      <c r="J39" s="396" t="str">
        <f>IF(ISTEXT(InteractiveReadyReckoner!D8),InteractiveReadyReckoner!L55,IFERROR(IF(OR(J11="Part new-build part refurbishment",J11="Simple building",SelectedToolBMRIBAStage4="",J37="",VLOOKUP(J10,Lookups!$B$10:$F$23,5,FALSE)="N"),"",100%-J37/J38),""))</f>
        <v/>
      </c>
      <c r="K39" s="396"/>
      <c r="L39" s="396"/>
      <c r="M39" s="396"/>
      <c r="N39" s="396"/>
    </row>
    <row r="40" spans="1:19" s="197" customFormat="1" ht="16.149999999999999" customHeight="1" x14ac:dyDescent="0.25">
      <c r="A40" s="203"/>
      <c r="B40" s="240" t="s">
        <v>96</v>
      </c>
      <c r="C40" s="240"/>
      <c r="D40" s="304"/>
      <c r="E40" s="304"/>
      <c r="F40" s="304"/>
      <c r="G40" s="304"/>
      <c r="H40" s="304"/>
      <c r="I40" s="304"/>
      <c r="J40" s="397" t="str">
        <f>IFERROR(IF(OR(J11="Part new-build part refurbishment",J11="Simple building",SelectedToolBMRIBAStage4="",J37="",VLOOKUP(J10,Lookups!$B$10:$F$23,5,FALSE)="N"),"--",IF((J39*100)&lt;CreditsBMMinimum,0,VLOOKUP(J39*100,CreditsBMScale,3,TRUE))),"--")</f>
        <v>--</v>
      </c>
      <c r="K40" s="397"/>
      <c r="L40" s="397"/>
      <c r="M40" s="397"/>
      <c r="N40" s="397"/>
    </row>
    <row r="41" spans="1:19" s="197" customFormat="1" ht="18" customHeight="1" x14ac:dyDescent="0.35">
      <c r="A41" s="203"/>
      <c r="B41" s="295"/>
      <c r="C41" s="296"/>
      <c r="D41" s="297"/>
      <c r="E41" s="298"/>
      <c r="F41" s="299"/>
      <c r="G41" s="299"/>
      <c r="H41" s="299"/>
      <c r="I41" s="299"/>
      <c r="J41" s="299"/>
      <c r="K41" s="299"/>
      <c r="L41" s="299"/>
      <c r="M41" s="299"/>
      <c r="N41" s="299"/>
      <c r="O41" s="299"/>
      <c r="P41" s="299"/>
    </row>
    <row r="42" spans="1:19" s="204" customFormat="1" ht="21.75" thickBot="1" x14ac:dyDescent="0.3">
      <c r="A42" s="203"/>
      <c r="B42" s="369" t="str">
        <f>"Superstructure - Options appraisal summary table"</f>
        <v>Superstructure - Options appraisal summary table</v>
      </c>
      <c r="C42" s="369"/>
      <c r="D42" s="369"/>
      <c r="E42" s="369"/>
      <c r="F42" s="369"/>
      <c r="G42" s="369"/>
      <c r="H42" s="369"/>
      <c r="I42" s="369"/>
      <c r="J42" s="245"/>
      <c r="K42" s="245"/>
      <c r="L42" s="245"/>
      <c r="M42" s="245"/>
      <c r="N42" s="245"/>
      <c r="O42" s="245"/>
      <c r="P42" s="246"/>
      <c r="Q42" s="214"/>
      <c r="R42" s="197"/>
    </row>
    <row r="43" spans="1:19" s="197" customFormat="1" x14ac:dyDescent="0.35">
      <c r="A43" s="203"/>
      <c r="B43" s="295"/>
      <c r="C43" s="296"/>
      <c r="D43" s="297"/>
      <c r="E43" s="298"/>
      <c r="F43" s="299"/>
      <c r="G43" s="299"/>
      <c r="H43" s="299"/>
      <c r="I43" s="299"/>
      <c r="J43" s="299"/>
      <c r="K43" s="299"/>
      <c r="L43" s="299"/>
      <c r="M43" s="299"/>
      <c r="N43" s="299"/>
      <c r="O43" s="299"/>
      <c r="P43" s="299"/>
    </row>
    <row r="44" spans="1:19" s="197" customFormat="1" x14ac:dyDescent="0.25">
      <c r="A44" s="203"/>
      <c r="B44" s="305" t="str">
        <f>IF(J19="Yes","Complete rows 'ID 14' and 'ID 15' or more (according to the number of options done) in the following table base on option data files from the '"&amp;SelectedToolOARIBAStage4&amp;"' tool. The completed data files shall be saved in the same folder as this file.","Superstructure options appraisal not done. This section shall be left blank. The uncompleted data files shall still be saved in the same folder as this file.")</f>
        <v>Superstructure options appraisal not done. This section shall be left blank. The uncompleted data files shall still be saved in the same folder as this file.</v>
      </c>
      <c r="C44" s="224"/>
      <c r="D44" s="232"/>
      <c r="E44" s="232"/>
      <c r="F44" s="232"/>
      <c r="G44" s="232"/>
      <c r="H44" s="232"/>
      <c r="I44" s="232"/>
      <c r="J44" s="224"/>
      <c r="K44" s="224"/>
      <c r="L44" s="224"/>
      <c r="M44" s="224"/>
      <c r="N44" s="224"/>
      <c r="P44" s="299"/>
    </row>
    <row r="45" spans="1:19" s="197" customFormat="1" x14ac:dyDescent="0.35">
      <c r="A45" s="203"/>
      <c r="B45" s="295"/>
      <c r="C45" s="296"/>
      <c r="D45" s="297"/>
      <c r="E45" s="298"/>
      <c r="F45" s="299"/>
      <c r="G45" s="299"/>
      <c r="H45" s="299"/>
      <c r="I45" s="299"/>
      <c r="J45" s="299"/>
      <c r="K45" s="299"/>
      <c r="L45" s="299"/>
      <c r="M45" s="299"/>
      <c r="N45" s="299"/>
      <c r="O45" s="299"/>
      <c r="P45" s="299"/>
    </row>
    <row r="46" spans="1:19" s="204" customFormat="1" ht="72" customHeight="1" x14ac:dyDescent="0.25">
      <c r="A46" s="203"/>
      <c r="B46" s="361" t="s">
        <v>6</v>
      </c>
      <c r="C46" s="362"/>
      <c r="D46" s="363" t="s">
        <v>75</v>
      </c>
      <c r="E46" s="363" t="e">
        <f>VLOOKUP(J10,FunctionalUnit,3,FALSE)</f>
        <v>#N/A</v>
      </c>
      <c r="F46" s="370" t="e">
        <f>J23&amp;"/"&amp;E46&amp;" (60 year study period)"</f>
        <v>#N/A</v>
      </c>
      <c r="G46" s="371"/>
      <c r="H46" s="371"/>
      <c r="I46" s="371"/>
      <c r="J46" s="371"/>
      <c r="K46" s="371"/>
      <c r="L46" s="371"/>
      <c r="M46" s="372"/>
      <c r="N46" s="383" t="s">
        <v>219</v>
      </c>
      <c r="O46" s="385" t="s">
        <v>242</v>
      </c>
      <c r="P46" s="381" t="s">
        <v>76</v>
      </c>
      <c r="Q46" s="214"/>
      <c r="R46" s="197"/>
      <c r="S46" s="249" t="s">
        <v>245</v>
      </c>
    </row>
    <row r="47" spans="1:19" s="204" customFormat="1" ht="28.9" customHeight="1" x14ac:dyDescent="0.25">
      <c r="A47" s="203"/>
      <c r="B47" s="233" t="s">
        <v>4</v>
      </c>
      <c r="C47" s="234" t="s">
        <v>5</v>
      </c>
      <c r="D47" s="364"/>
      <c r="E47" s="363"/>
      <c r="F47" s="235" t="str">
        <f>Classification!$C$3</f>
        <v>2.1 Frame</v>
      </c>
      <c r="G47" s="235" t="str">
        <f>Classification!$C$4</f>
        <v>2.2 Upper floors</v>
      </c>
      <c r="H47" s="235" t="str">
        <f>Classification!$C$5</f>
        <v>2.3 Roof</v>
      </c>
      <c r="I47" s="235" t="str">
        <f>Classification!$C$6</f>
        <v>2.4 Stairs and ramps</v>
      </c>
      <c r="J47" s="235" t="str">
        <f>Classification!$C$7</f>
        <v>2.5 External walls</v>
      </c>
      <c r="K47" s="235" t="str">
        <f>Classification!$C$8</f>
        <v>2.6 Windows and external doors</v>
      </c>
      <c r="L47" s="235" t="str">
        <f>Classification!$C$9</f>
        <v>2.7 Internal walls and partitions</v>
      </c>
      <c r="M47" s="235" t="s">
        <v>11</v>
      </c>
      <c r="N47" s="384"/>
      <c r="O47" s="364"/>
      <c r="P47" s="381"/>
      <c r="Q47" s="214"/>
      <c r="R47" s="197"/>
      <c r="S47" s="249"/>
    </row>
    <row r="48" spans="1:19" s="197" customFormat="1" ht="21.75" thickBot="1" x14ac:dyDescent="0.4">
      <c r="A48" s="203"/>
      <c r="B48" s="306"/>
      <c r="C48" s="307" t="s">
        <v>220</v>
      </c>
      <c r="D48" s="308"/>
      <c r="E48" s="309"/>
      <c r="F48" s="310" t="str">
        <f>IF(MAT01_ConceptDesign!$J$58&lt;&gt;"",IF(SelectedToolOARIBAStage4=SelectedToolOA,VLOOKUP(MAT01_ConceptDesign!$J$58,MAT01_ConceptDesign!$B$51:$M$54,5,FALSE),"n/a"),"")</f>
        <v/>
      </c>
      <c r="G48" s="310" t="str">
        <f>IF(MAT01_ConceptDesign!$J$58&lt;&gt;"",IF(SelectedToolOARIBAStage4=SelectedToolOA,VLOOKUP(MAT01_ConceptDesign!$J$58,MAT01_ConceptDesign!$B$51:$M$54,6,FALSE),"n/a"),"")</f>
        <v/>
      </c>
      <c r="H48" s="310" t="str">
        <f>IF(MAT01_ConceptDesign!$J$58&lt;&gt;"",IF(SelectedToolOARIBAStage4=SelectedToolOA,VLOOKUP(MAT01_ConceptDesign!$J$58,MAT01_ConceptDesign!$B$51:$M$54,7,FALSE),"n/a"),"")</f>
        <v/>
      </c>
      <c r="I48" s="310" t="str">
        <f>IF(MAT01_ConceptDesign!$J$58&lt;&gt;"",IF(SelectedToolOARIBAStage4=SelectedToolOA,VLOOKUP(MAT01_ConceptDesign!$J$58,MAT01_ConceptDesign!$B$51:$M$54,8,FALSE),"n/a"),"")</f>
        <v/>
      </c>
      <c r="J48" s="310" t="str">
        <f>IF(MAT01_ConceptDesign!$J$58&lt;&gt;"",IF(SelectedToolOARIBAStage4=SelectedToolOA,VLOOKUP(MAT01_ConceptDesign!$J$58,MAT01_ConceptDesign!$B$51:$M$54,9,FALSE),"n/a"),"")</f>
        <v/>
      </c>
      <c r="K48" s="310" t="str">
        <f>IF(MAT01_ConceptDesign!$J$58&lt;&gt;"",IF(SelectedToolOARIBAStage4=SelectedToolOA,VLOOKUP(MAT01_ConceptDesign!$J$58,MAT01_ConceptDesign!$B$51:$M$54,10,FALSE),"n/a"),"")</f>
        <v/>
      </c>
      <c r="L48" s="310" t="str">
        <f>IF(MAT01_ConceptDesign!$J$58&lt;&gt;"",IF(SelectedToolOARIBAStage4=SelectedToolOA,VLOOKUP(MAT01_ConceptDesign!$J$58,MAT01_ConceptDesign!$B$51:$M$54,11,FALSE),"n/a"),"")</f>
        <v/>
      </c>
      <c r="M48" s="310" t="str">
        <f>IF(MAT01_ConceptDesign!$J$58&lt;&gt;"",IF(SelectedToolOARIBAStage4=SelectedToolOA,VLOOKUP(MAT01_ConceptDesign!$J$58,MAT01_ConceptDesign!$B$51:$M$54,12,FALSE),"n/a"),"")</f>
        <v/>
      </c>
      <c r="N48" s="308"/>
      <c r="O48" s="311"/>
      <c r="P48" s="311"/>
      <c r="S48" s="261"/>
    </row>
    <row r="49" spans="1:22" s="256" customFormat="1" x14ac:dyDescent="0.25">
      <c r="A49" s="203"/>
      <c r="B49" s="275">
        <v>14</v>
      </c>
      <c r="C49" s="236" t="s">
        <v>59</v>
      </c>
      <c r="D49" s="276" t="s">
        <v>7</v>
      </c>
      <c r="E49" s="312">
        <f>J12</f>
        <v>1</v>
      </c>
      <c r="F49" s="239">
        <v>0</v>
      </c>
      <c r="G49" s="239">
        <v>0</v>
      </c>
      <c r="H49" s="239">
        <v>0</v>
      </c>
      <c r="I49" s="239">
        <v>0</v>
      </c>
      <c r="J49" s="239">
        <v>0</v>
      </c>
      <c r="K49" s="239">
        <v>0</v>
      </c>
      <c r="L49" s="239">
        <v>0</v>
      </c>
      <c r="M49" s="278">
        <v>0</v>
      </c>
      <c r="N49" s="282" t="s">
        <v>82</v>
      </c>
      <c r="O49" s="327" t="str">
        <f>InteractiveReadyReckoner!J66</f>
        <v>CHOSEN OPTION</v>
      </c>
      <c r="P49" s="328" t="str">
        <f>InteractiveReadyReckoner!L66</f>
        <v>No</v>
      </c>
      <c r="Q49" s="255"/>
      <c r="R49" s="197"/>
      <c r="S49" s="257" t="str">
        <f>O49&amp;P49</f>
        <v>CHOSEN OPTIONNo</v>
      </c>
      <c r="T49" s="313"/>
      <c r="U49" s="314"/>
      <c r="V49" s="314"/>
    </row>
    <row r="50" spans="1:22" s="256" customFormat="1" x14ac:dyDescent="0.25">
      <c r="A50" s="203"/>
      <c r="B50" s="236">
        <v>15</v>
      </c>
      <c r="C50" s="236" t="s">
        <v>60</v>
      </c>
      <c r="D50" s="237" t="s">
        <v>7</v>
      </c>
      <c r="E50" s="315">
        <f>E49</f>
        <v>1</v>
      </c>
      <c r="F50" s="239">
        <v>0</v>
      </c>
      <c r="G50" s="239">
        <v>0</v>
      </c>
      <c r="H50" s="239">
        <v>0</v>
      </c>
      <c r="I50" s="239">
        <v>0</v>
      </c>
      <c r="J50" s="239">
        <v>0</v>
      </c>
      <c r="K50" s="239">
        <v>0</v>
      </c>
      <c r="L50" s="239">
        <v>0</v>
      </c>
      <c r="M50" s="239">
        <v>0</v>
      </c>
      <c r="N50" s="316" t="s">
        <v>7</v>
      </c>
      <c r="O50" s="352" t="str">
        <f>InteractiveReadyReckoner!J67</f>
        <v>Other</v>
      </c>
      <c r="P50" s="328" t="str">
        <f>InteractiveReadyReckoner!L67</f>
        <v>No</v>
      </c>
      <c r="Q50" s="255"/>
      <c r="R50" s="197"/>
      <c r="S50" s="257" t="str">
        <f t="shared" ref="S50:S51" si="1">O50&amp;P50</f>
        <v>OtherNo</v>
      </c>
      <c r="T50" s="313"/>
      <c r="U50" s="317"/>
      <c r="V50" s="317"/>
    </row>
    <row r="51" spans="1:22" s="256" customFormat="1" x14ac:dyDescent="0.25">
      <c r="A51" s="203"/>
      <c r="B51" s="236">
        <v>16</v>
      </c>
      <c r="C51" s="236" t="s">
        <v>61</v>
      </c>
      <c r="D51" s="237" t="s">
        <v>7</v>
      </c>
      <c r="E51" s="282">
        <f>E49</f>
        <v>1</v>
      </c>
      <c r="F51" s="239">
        <v>0</v>
      </c>
      <c r="G51" s="239">
        <v>0</v>
      </c>
      <c r="H51" s="239">
        <v>0</v>
      </c>
      <c r="I51" s="239">
        <v>0</v>
      </c>
      <c r="J51" s="239">
        <v>0</v>
      </c>
      <c r="K51" s="239">
        <v>0</v>
      </c>
      <c r="L51" s="239">
        <v>0</v>
      </c>
      <c r="M51" s="318">
        <f t="shared" ref="M49:M51" si="2">SUM(F51:L51)</f>
        <v>0</v>
      </c>
      <c r="N51" s="316" t="s">
        <v>7</v>
      </c>
      <c r="O51" s="352" t="str">
        <f>InteractiveReadyReckoner!J68</f>
        <v>Other</v>
      </c>
      <c r="P51" s="328" t="str">
        <f>InteractiveReadyReckoner!L68</f>
        <v>No</v>
      </c>
      <c r="Q51" s="255"/>
      <c r="R51" s="197"/>
      <c r="S51" s="257" t="str">
        <f t="shared" si="1"/>
        <v>OtherNo</v>
      </c>
      <c r="T51" s="313"/>
      <c r="U51" s="317"/>
      <c r="V51" s="317"/>
    </row>
    <row r="52" spans="1:22" s="197" customFormat="1" ht="16.149999999999999" customHeight="1" x14ac:dyDescent="0.25">
      <c r="A52" s="203" t="str">
        <f>IF(B52&lt;&gt;"",1,"")</f>
        <v/>
      </c>
      <c r="B52" s="259" t="str">
        <f>IF(J19="yes",IF(OR(AND(P49&lt;&gt;"No",O49=""),AND(P50&lt;&gt;"No",O50=""),AND(P51&lt;&gt;"No",O51="")),"'All options to be indicated 'Yes' or 'No'. Or, the 'Option chosen, and summary reasons for not choosing...' column has not been completed for one or more options indicated as completed ('Yes').",""),"")</f>
        <v/>
      </c>
      <c r="C52" s="259"/>
      <c r="D52" s="260"/>
      <c r="E52" s="261"/>
      <c r="F52" s="261"/>
      <c r="G52" s="261"/>
      <c r="H52" s="261"/>
      <c r="I52" s="261"/>
      <c r="J52" s="261"/>
      <c r="K52" s="261"/>
      <c r="L52" s="261"/>
      <c r="M52" s="261"/>
      <c r="N52" s="262"/>
      <c r="R52" s="256"/>
    </row>
    <row r="53" spans="1:22" s="197" customFormat="1" ht="16.149999999999999" customHeight="1" x14ac:dyDescent="0.25">
      <c r="A53" s="203" t="str">
        <f>IF(B53&lt;&gt;"",1,"")</f>
        <v/>
      </c>
      <c r="B53" s="259" t="str">
        <f>IF(J19="yes",IF(OR(COUNTIF(S49:S51,"CHOSEN OPTIONYes")&lt;&gt;1,COUNTIF(O49:O51,"CHOSEN OPTION")&lt;&gt;1),"One option indicated as complete must be selected as the 'CHOSEN OPTION'.",""),"")</f>
        <v/>
      </c>
      <c r="C53" s="259"/>
      <c r="D53" s="260"/>
      <c r="E53" s="261"/>
      <c r="F53" s="261"/>
      <c r="G53" s="261"/>
      <c r="H53" s="261"/>
      <c r="I53" s="261"/>
      <c r="J53" s="261"/>
      <c r="K53" s="261"/>
      <c r="L53" s="261"/>
      <c r="M53" s="261"/>
      <c r="N53" s="262"/>
      <c r="R53" s="256"/>
    </row>
    <row r="54" spans="1:22" x14ac:dyDescent="0.25">
      <c r="A54" s="203"/>
      <c r="R54" s="408"/>
      <c r="S54" s="408"/>
      <c r="T54" s="408"/>
      <c r="U54" s="409"/>
      <c r="V54" s="409"/>
    </row>
    <row r="55" spans="1:22" s="197" customFormat="1" ht="16.149999999999999" customHeight="1" x14ac:dyDescent="0.25">
      <c r="A55" s="203"/>
      <c r="B55" s="210" t="s">
        <v>246</v>
      </c>
      <c r="C55" s="221"/>
      <c r="D55" s="220"/>
      <c r="E55" s="221"/>
      <c r="F55" s="221"/>
      <c r="G55" s="221"/>
      <c r="H55" s="221"/>
      <c r="I55" s="221"/>
      <c r="J55" s="387" t="str">
        <f>IFERROR(INDEX(RIBAStage3or4Options,MATCH("CHOSEN OPTIONYes",S49:S51,0)),"")</f>
        <v/>
      </c>
      <c r="K55" s="388"/>
      <c r="L55" s="388"/>
      <c r="M55" s="388"/>
      <c r="N55" s="389"/>
    </row>
    <row r="56" spans="1:22" s="197" customFormat="1" ht="16.149999999999999" customHeight="1" x14ac:dyDescent="0.25">
      <c r="A56" s="203"/>
      <c r="B56" s="210" t="str">
        <f>IF(SelectedToolBMRIBAStage4&lt;&gt;"","Is option ID '"&amp;J55&amp;"' the same as ID 'B2' submitted for 'Superstructure - Comparison with the BREEAM benchmark' above?'","Question n/a - leave blank.")</f>
        <v>Question n/a - leave blank.</v>
      </c>
      <c r="C56" s="221"/>
      <c r="D56" s="220"/>
      <c r="E56" s="221"/>
      <c r="F56" s="221"/>
      <c r="G56" s="221"/>
      <c r="H56" s="221"/>
      <c r="I56" s="221"/>
      <c r="J56" s="360" t="str">
        <f>InteractiveReadyReckoner!L69</f>
        <v>Yes</v>
      </c>
      <c r="K56" s="360"/>
      <c r="L56" s="360"/>
      <c r="M56" s="360"/>
      <c r="N56" s="360"/>
    </row>
    <row r="57" spans="1:22" s="197" customFormat="1" ht="16.149999999999999" customHeight="1" x14ac:dyDescent="0.25">
      <c r="A57" s="203" t="str">
        <f>IF(B57&lt;&gt;"",1,"")</f>
        <v/>
      </c>
      <c r="B57" s="259" t="str">
        <f>IF(AND(SelectedToolBMRIBAStage4&lt;&gt;"",J55&lt;&gt;""),IF(AND(S57=1,J37&lt;&gt;VLOOKUP(J55,B49:M51,12,FALSE)),"The 'CHOSEN OPTION' submission results do not match the 'Superstructure - Comparison with the BREEAM benchmark' (ID 'B1') submission.",IF(J56&lt;&gt;"yes","The option selected as the 'CHOSEN OPTION' must be the same as the option assessed for 'Superstructure - Comparison with the BREEAM benchmark' (ID 'B1').","")),"")</f>
        <v/>
      </c>
      <c r="C57" s="259"/>
      <c r="D57" s="260"/>
      <c r="E57" s="261"/>
      <c r="F57" s="261"/>
      <c r="G57" s="261"/>
      <c r="H57" s="261"/>
      <c r="I57" s="261"/>
      <c r="J57" s="261"/>
      <c r="K57" s="261"/>
      <c r="L57" s="261"/>
      <c r="M57" s="261"/>
      <c r="N57" s="262"/>
      <c r="S57" s="261">
        <f>IF(ISNUMBER(MATCH(SelectedToolOARIBAStage4,RecognisedToolsBM,0)),1,0)</f>
        <v>1</v>
      </c>
    </row>
    <row r="58" spans="1:22" s="197" customFormat="1" ht="16.149999999999999" customHeight="1" x14ac:dyDescent="0.25">
      <c r="A58" s="203"/>
      <c r="B58" s="270"/>
      <c r="N58" s="266"/>
    </row>
    <row r="59" spans="1:22" s="197" customFormat="1" ht="16.149999999999999" customHeight="1" x14ac:dyDescent="0.25">
      <c r="A59" s="203"/>
      <c r="B59" s="267" t="s">
        <v>38</v>
      </c>
      <c r="C59" s="221"/>
      <c r="D59" s="268"/>
      <c r="E59" s="221"/>
      <c r="F59" s="221"/>
      <c r="G59" s="221"/>
      <c r="H59" s="221"/>
      <c r="I59" s="221"/>
      <c r="J59" s="407">
        <f>COUNTIF(P46:P51,"yes")</f>
        <v>0</v>
      </c>
      <c r="K59" s="407"/>
      <c r="L59" s="407"/>
      <c r="M59" s="407"/>
      <c r="N59" s="407"/>
    </row>
    <row r="60" spans="1:22" s="197" customFormat="1" ht="16.149999999999999" customHeight="1" x14ac:dyDescent="0.25">
      <c r="A60" s="203"/>
      <c r="B60" s="269" t="s">
        <v>43</v>
      </c>
      <c r="C60" s="221"/>
      <c r="D60" s="241"/>
      <c r="E60" s="241"/>
      <c r="F60" s="241"/>
      <c r="G60" s="241"/>
      <c r="H60" s="241"/>
      <c r="I60" s="241"/>
      <c r="J60" s="406" t="str">
        <f ca="1">IF(AND($J$19="Yes",J59&gt;=2,B4=""),VLOOKUP(J21,IF(SelectedToolBMRIBAStage4="",CreditsS4NoBM,CreditsS4BM),4+J59,FALSE),"--")</f>
        <v>--</v>
      </c>
      <c r="K60" s="406"/>
      <c r="L60" s="406"/>
      <c r="M60" s="406"/>
      <c r="N60" s="406"/>
      <c r="P60" s="319"/>
    </row>
    <row r="61" spans="1:22" x14ac:dyDescent="0.25">
      <c r="A61" s="203"/>
    </row>
    <row r="62" spans="1:22" s="204" customFormat="1" ht="21.75" thickBot="1" x14ac:dyDescent="0.3">
      <c r="A62" s="203"/>
      <c r="B62" s="369" t="s">
        <v>163</v>
      </c>
      <c r="C62" s="369"/>
      <c r="D62" s="369"/>
      <c r="E62" s="369"/>
      <c r="F62" s="369"/>
      <c r="G62" s="369"/>
      <c r="H62" s="369"/>
      <c r="I62" s="369"/>
      <c r="J62" s="245"/>
      <c r="K62" s="245"/>
      <c r="L62" s="245"/>
      <c r="M62" s="245"/>
      <c r="N62" s="245"/>
      <c r="O62" s="245"/>
      <c r="P62" s="246"/>
      <c r="Q62" s="214"/>
    </row>
    <row r="63" spans="1:22" x14ac:dyDescent="0.25">
      <c r="A63" s="203"/>
      <c r="B63" s="198"/>
      <c r="C63" s="198"/>
      <c r="D63" s="198"/>
      <c r="E63" s="198"/>
      <c r="F63" s="198"/>
      <c r="G63" s="198"/>
      <c r="H63" s="198"/>
      <c r="I63" s="198"/>
      <c r="J63" s="198"/>
      <c r="K63" s="198"/>
      <c r="L63" s="198"/>
      <c r="M63" s="198"/>
      <c r="N63" s="198"/>
      <c r="O63" s="198"/>
      <c r="P63" s="198"/>
    </row>
    <row r="64" spans="1:22" s="286" customFormat="1" ht="36" x14ac:dyDescent="0.25">
      <c r="A64" s="203"/>
      <c r="B64" s="320" t="s">
        <v>115</v>
      </c>
      <c r="C64" s="320"/>
      <c r="D64" s="321"/>
      <c r="E64" s="322"/>
      <c r="F64" s="322"/>
      <c r="G64" s="322"/>
      <c r="H64" s="322"/>
      <c r="I64" s="322"/>
      <c r="J64" s="401" t="str">
        <f ca="1">IF(B4="",ROUNDDOWN(SUM(MAT01_ConceptDesign!J63,MAT01_ConceptDesign!J85,J40,J60),0)&amp;IF(MAT01_ConceptDesign!J103&lt;&gt;"--"," + Exemplar credit",""),"Errors to be corrected.")</f>
        <v>Errors to be corrected.</v>
      </c>
      <c r="K64" s="401"/>
      <c r="L64" s="401"/>
      <c r="M64" s="401"/>
      <c r="N64" s="401"/>
      <c r="R64" s="197"/>
    </row>
    <row r="65" spans="1:17" s="197" customFormat="1" ht="16.149999999999999" customHeight="1" x14ac:dyDescent="0.25">
      <c r="A65" s="203"/>
      <c r="B65" s="270"/>
      <c r="C65" s="229"/>
      <c r="D65" s="229"/>
      <c r="E65" s="229"/>
      <c r="F65" s="229"/>
      <c r="G65" s="229"/>
      <c r="H65" s="229"/>
      <c r="J65" s="271"/>
      <c r="K65" s="271"/>
      <c r="N65" s="266"/>
    </row>
    <row r="66" spans="1:17" x14ac:dyDescent="0.25">
      <c r="A66" s="203"/>
    </row>
    <row r="67" spans="1:17" s="204" customFormat="1" ht="21.75" thickBot="1" x14ac:dyDescent="0.3">
      <c r="A67" s="203"/>
      <c r="B67" s="287" t="s">
        <v>166</v>
      </c>
      <c r="C67" s="287"/>
      <c r="D67" s="287"/>
      <c r="E67" s="287"/>
      <c r="F67" s="287"/>
      <c r="G67" s="287"/>
      <c r="H67" s="287"/>
      <c r="I67" s="287"/>
      <c r="J67" s="245"/>
      <c r="K67" s="245"/>
      <c r="L67" s="245"/>
      <c r="M67" s="245"/>
      <c r="N67" s="245"/>
      <c r="O67" s="245"/>
      <c r="P67" s="246"/>
      <c r="Q67" s="214"/>
    </row>
    <row r="68" spans="1:17" s="197" customFormat="1" ht="16.149999999999999" customHeight="1" x14ac:dyDescent="0.25">
      <c r="A68" s="203"/>
      <c r="B68" s="270"/>
      <c r="C68" s="229"/>
      <c r="D68" s="229"/>
      <c r="E68" s="229"/>
      <c r="F68" s="229"/>
      <c r="G68" s="229"/>
      <c r="H68" s="229"/>
      <c r="J68" s="271"/>
      <c r="K68" s="271"/>
      <c r="N68" s="266"/>
    </row>
    <row r="69" spans="1:17" s="197" customFormat="1" ht="16.149999999999999" customHeight="1" x14ac:dyDescent="0.25">
      <c r="A69" s="203"/>
      <c r="B69" s="288" t="s">
        <v>257</v>
      </c>
      <c r="C69" s="229"/>
      <c r="D69" s="229"/>
      <c r="E69" s="229"/>
      <c r="F69" s="229"/>
      <c r="G69" s="229"/>
      <c r="H69" s="229"/>
      <c r="J69" s="271"/>
      <c r="K69" s="271"/>
      <c r="N69" s="266"/>
    </row>
    <row r="70" spans="1:17" s="197" customFormat="1" ht="16.149999999999999" customHeight="1" x14ac:dyDescent="0.25">
      <c r="A70" s="203" t="str">
        <f>IF(J70&lt;&gt;"Yes",1,"")</f>
        <v/>
      </c>
      <c r="B70" s="222" t="s">
        <v>248</v>
      </c>
      <c r="C70" s="221"/>
      <c r="D70" s="221"/>
      <c r="E70" s="221"/>
      <c r="F70" s="221"/>
      <c r="G70" s="221"/>
      <c r="H70" s="221"/>
      <c r="I70" s="221"/>
      <c r="J70" s="360" t="str">
        <f>InteractiveReadyReckoner!L72</f>
        <v>Yes</v>
      </c>
      <c r="K70" s="360"/>
      <c r="L70" s="360"/>
      <c r="M70" s="360"/>
      <c r="N70" s="360"/>
    </row>
    <row r="71" spans="1:17" s="197" customFormat="1" ht="16.149999999999999" customHeight="1" x14ac:dyDescent="0.25">
      <c r="A71" s="203" t="str">
        <f>IF(J71&lt;&gt;"Yes",1,"")</f>
        <v/>
      </c>
      <c r="B71" s="222" t="s">
        <v>254</v>
      </c>
      <c r="C71" s="221"/>
      <c r="D71" s="221"/>
      <c r="E71" s="221"/>
      <c r="F71" s="221"/>
      <c r="G71" s="221"/>
      <c r="H71" s="221"/>
      <c r="I71" s="221"/>
      <c r="J71" s="360" t="str">
        <f>InteractiveReadyReckoner!L73</f>
        <v>Yes</v>
      </c>
      <c r="K71" s="360"/>
      <c r="L71" s="360"/>
      <c r="M71" s="360"/>
      <c r="N71" s="360"/>
    </row>
    <row r="72" spans="1:17" s="197" customFormat="1" ht="31.9" customHeight="1" x14ac:dyDescent="0.25">
      <c r="A72" s="203" t="str">
        <f>IF(J72&lt;&gt;"Yes",1,"")</f>
        <v/>
      </c>
      <c r="B72" s="386" t="s">
        <v>258</v>
      </c>
      <c r="C72" s="386"/>
      <c r="D72" s="386"/>
      <c r="E72" s="386"/>
      <c r="F72" s="386"/>
      <c r="G72" s="386"/>
      <c r="H72" s="386"/>
      <c r="I72" s="386"/>
      <c r="J72" s="360" t="str">
        <f>InteractiveReadyReckoner!L74</f>
        <v>Yes</v>
      </c>
      <c r="K72" s="360"/>
      <c r="L72" s="360"/>
      <c r="M72" s="360"/>
      <c r="N72" s="360"/>
    </row>
    <row r="73" spans="1:17" s="197" customFormat="1" ht="16.149999999999999" customHeight="1" x14ac:dyDescent="0.25">
      <c r="A73" s="203"/>
      <c r="C73" s="229"/>
      <c r="D73" s="229"/>
      <c r="E73" s="229"/>
      <c r="F73" s="229"/>
      <c r="G73" s="229"/>
      <c r="H73" s="229"/>
      <c r="J73" s="271"/>
      <c r="K73" s="271"/>
      <c r="N73" s="266"/>
    </row>
    <row r="74" spans="1:17" s="197" customFormat="1" ht="16.149999999999999" customHeight="1" x14ac:dyDescent="0.25">
      <c r="A74" s="203" t="str">
        <f ca="1">IF(J74="",1,"")</f>
        <v/>
      </c>
      <c r="B74" s="210" t="s">
        <v>262</v>
      </c>
      <c r="C74" s="212"/>
      <c r="D74" s="212"/>
      <c r="E74" s="212"/>
      <c r="F74" s="212"/>
      <c r="G74" s="212"/>
      <c r="H74" s="212"/>
      <c r="I74" s="212"/>
      <c r="J74" s="380">
        <f ca="1">InteractiveReadyReckoner!L75</f>
        <v>43877.923309375001</v>
      </c>
      <c r="K74" s="380"/>
      <c r="L74" s="380"/>
      <c r="M74" s="380"/>
      <c r="N74" s="380"/>
    </row>
    <row r="75" spans="1:17" x14ac:dyDescent="0.25"/>
  </sheetData>
  <mergeCells count="40">
    <mergeCell ref="B32:C32"/>
    <mergeCell ref="D32:D33"/>
    <mergeCell ref="E32:E33"/>
    <mergeCell ref="F32:M32"/>
    <mergeCell ref="B72:I72"/>
    <mergeCell ref="B42:I42"/>
    <mergeCell ref="B46:C46"/>
    <mergeCell ref="D46:D47"/>
    <mergeCell ref="E46:E47"/>
    <mergeCell ref="P46:P47"/>
    <mergeCell ref="R54:T54"/>
    <mergeCell ref="U54:V54"/>
    <mergeCell ref="F46:M46"/>
    <mergeCell ref="N46:N47"/>
    <mergeCell ref="B2:O2"/>
    <mergeCell ref="B62:I62"/>
    <mergeCell ref="J21:N21"/>
    <mergeCell ref="J10:N10"/>
    <mergeCell ref="O46:O47"/>
    <mergeCell ref="J20:N20"/>
    <mergeCell ref="J22:N22"/>
    <mergeCell ref="J38:N38"/>
    <mergeCell ref="J39:N39"/>
    <mergeCell ref="J40:N40"/>
    <mergeCell ref="J12:N12"/>
    <mergeCell ref="J15:N15"/>
    <mergeCell ref="J60:N60"/>
    <mergeCell ref="J13:N13"/>
    <mergeCell ref="J55:N55"/>
    <mergeCell ref="J59:N59"/>
    <mergeCell ref="J11:N11"/>
    <mergeCell ref="J70:N70"/>
    <mergeCell ref="J71:N71"/>
    <mergeCell ref="J72:N72"/>
    <mergeCell ref="J74:N74"/>
    <mergeCell ref="J64:N64"/>
    <mergeCell ref="J56:N56"/>
    <mergeCell ref="J19:N19"/>
    <mergeCell ref="J37:N37"/>
    <mergeCell ref="J23:N23"/>
  </mergeCells>
  <conditionalFormatting sqref="F49:F51">
    <cfRule type="dataBar" priority="17">
      <dataBar>
        <cfvo type="min"/>
        <cfvo type="max"/>
        <color rgb="FF008AEF"/>
      </dataBar>
      <extLst>
        <ext xmlns:x14="http://schemas.microsoft.com/office/spreadsheetml/2009/9/main" uri="{B025F937-C7B1-47D3-B67F-A62EFF666E3E}">
          <x14:id>{4A176593-85E0-4B68-ADDC-D51E5F9D05E0}</x14:id>
        </ext>
      </extLst>
    </cfRule>
  </conditionalFormatting>
  <conditionalFormatting sqref="G49:G51">
    <cfRule type="dataBar" priority="54">
      <dataBar>
        <cfvo type="min"/>
        <cfvo type="max"/>
        <color rgb="FFFFB628"/>
      </dataBar>
      <extLst>
        <ext xmlns:x14="http://schemas.microsoft.com/office/spreadsheetml/2009/9/main" uri="{B025F937-C7B1-47D3-B67F-A62EFF666E3E}">
          <x14:id>{DDC536B4-AA1B-4BB9-9F58-03A7EEE49D9B}</x14:id>
        </ext>
      </extLst>
    </cfRule>
  </conditionalFormatting>
  <conditionalFormatting sqref="H49:H51">
    <cfRule type="dataBar" priority="55">
      <dataBar>
        <cfvo type="min"/>
        <cfvo type="max"/>
        <color rgb="FFFFB628"/>
      </dataBar>
      <extLst>
        <ext xmlns:x14="http://schemas.microsoft.com/office/spreadsheetml/2009/9/main" uri="{B025F937-C7B1-47D3-B67F-A62EFF666E3E}">
          <x14:id>{EE7B0E79-8A77-47BC-847F-61E4723280F9}</x14:id>
        </ext>
      </extLst>
    </cfRule>
  </conditionalFormatting>
  <conditionalFormatting sqref="I49:I51">
    <cfRule type="dataBar" priority="53">
      <dataBar>
        <cfvo type="min"/>
        <cfvo type="max"/>
        <color rgb="FFFFB628"/>
      </dataBar>
      <extLst>
        <ext xmlns:x14="http://schemas.microsoft.com/office/spreadsheetml/2009/9/main" uri="{B025F937-C7B1-47D3-B67F-A62EFF666E3E}">
          <x14:id>{B794B33B-4689-452D-AE33-1E5E636C178F}</x14:id>
        </ext>
      </extLst>
    </cfRule>
  </conditionalFormatting>
  <conditionalFormatting sqref="J49:J51">
    <cfRule type="dataBar" priority="56">
      <dataBar>
        <cfvo type="min"/>
        <cfvo type="max"/>
        <color rgb="FFFFB628"/>
      </dataBar>
      <extLst>
        <ext xmlns:x14="http://schemas.microsoft.com/office/spreadsheetml/2009/9/main" uri="{B025F937-C7B1-47D3-B67F-A62EFF666E3E}">
          <x14:id>{FCCBC216-F3A8-4220-8726-215C8A48165E}</x14:id>
        </ext>
      </extLst>
    </cfRule>
  </conditionalFormatting>
  <conditionalFormatting sqref="K49:K51">
    <cfRule type="dataBar" priority="52">
      <dataBar>
        <cfvo type="min"/>
        <cfvo type="max"/>
        <color rgb="FFFFB628"/>
      </dataBar>
      <extLst>
        <ext xmlns:x14="http://schemas.microsoft.com/office/spreadsheetml/2009/9/main" uri="{B025F937-C7B1-47D3-B67F-A62EFF666E3E}">
          <x14:id>{74BF69B1-0E3F-4050-9CFD-442C25B89F7B}</x14:id>
        </ext>
      </extLst>
    </cfRule>
  </conditionalFormatting>
  <conditionalFormatting sqref="L49:L51">
    <cfRule type="dataBar" priority="51">
      <dataBar>
        <cfvo type="min"/>
        <cfvo type="max"/>
        <color rgb="FFFFB628"/>
      </dataBar>
      <extLst>
        <ext xmlns:x14="http://schemas.microsoft.com/office/spreadsheetml/2009/9/main" uri="{B025F937-C7B1-47D3-B67F-A62EFF666E3E}">
          <x14:id>{82AD6861-16AA-460C-8950-ECC6886EBDDD}</x14:id>
        </ext>
      </extLst>
    </cfRule>
  </conditionalFormatting>
  <conditionalFormatting sqref="M49:M51">
    <cfRule type="dataBar" priority="50">
      <dataBar>
        <cfvo type="min"/>
        <cfvo type="max"/>
        <color rgb="FFFFB628"/>
      </dataBar>
      <extLst>
        <ext xmlns:x14="http://schemas.microsoft.com/office/spreadsheetml/2009/9/main" uri="{B025F937-C7B1-47D3-B67F-A62EFF666E3E}">
          <x14:id>{E5575F71-0DAA-400C-A0BB-E08B0FFC57F1}</x14:id>
        </ext>
      </extLst>
    </cfRule>
  </conditionalFormatting>
  <conditionalFormatting sqref="F48:F51">
    <cfRule type="dataBar" priority="11">
      <dataBar>
        <cfvo type="min"/>
        <cfvo type="max"/>
        <color rgb="FF008AEF"/>
      </dataBar>
      <extLst>
        <ext xmlns:x14="http://schemas.microsoft.com/office/spreadsheetml/2009/9/main" uri="{B025F937-C7B1-47D3-B67F-A62EFF666E3E}">
          <x14:id>{A521AC28-94BF-4FE6-8E60-4A90BFE962EB}</x14:id>
        </ext>
      </extLst>
    </cfRule>
  </conditionalFormatting>
  <conditionalFormatting sqref="G49:G51">
    <cfRule type="dataBar" priority="48">
      <dataBar>
        <cfvo type="min"/>
        <cfvo type="max"/>
        <color rgb="FFFFB628"/>
      </dataBar>
      <extLst>
        <ext xmlns:x14="http://schemas.microsoft.com/office/spreadsheetml/2009/9/main" uri="{B025F937-C7B1-47D3-B67F-A62EFF666E3E}">
          <x14:id>{608B123B-4C92-465C-A79F-7DE115E88A00}</x14:id>
        </ext>
      </extLst>
    </cfRule>
  </conditionalFormatting>
  <conditionalFormatting sqref="H49:H51">
    <cfRule type="dataBar" priority="47">
      <dataBar>
        <cfvo type="min"/>
        <cfvo type="max"/>
        <color rgb="FFFFB628"/>
      </dataBar>
      <extLst>
        <ext xmlns:x14="http://schemas.microsoft.com/office/spreadsheetml/2009/9/main" uri="{B025F937-C7B1-47D3-B67F-A62EFF666E3E}">
          <x14:id>{3D1A5E1B-CF38-4702-9D63-3841FDDD1E55}</x14:id>
        </ext>
      </extLst>
    </cfRule>
  </conditionalFormatting>
  <conditionalFormatting sqref="I49:I51">
    <cfRule type="dataBar" priority="46">
      <dataBar>
        <cfvo type="min"/>
        <cfvo type="max"/>
        <color rgb="FFFFB628"/>
      </dataBar>
      <extLst>
        <ext xmlns:x14="http://schemas.microsoft.com/office/spreadsheetml/2009/9/main" uri="{B025F937-C7B1-47D3-B67F-A62EFF666E3E}">
          <x14:id>{0C3DB662-62BE-45EC-B68B-046F26761105}</x14:id>
        </ext>
      </extLst>
    </cfRule>
  </conditionalFormatting>
  <conditionalFormatting sqref="J49:J51">
    <cfRule type="dataBar" priority="45">
      <dataBar>
        <cfvo type="min"/>
        <cfvo type="max"/>
        <color rgb="FFFFB628"/>
      </dataBar>
      <extLst>
        <ext xmlns:x14="http://schemas.microsoft.com/office/spreadsheetml/2009/9/main" uri="{B025F937-C7B1-47D3-B67F-A62EFF666E3E}">
          <x14:id>{C31ECB21-2C45-4FBB-87FA-3D8483C7C91C}</x14:id>
        </ext>
      </extLst>
    </cfRule>
  </conditionalFormatting>
  <conditionalFormatting sqref="K49:K51">
    <cfRule type="dataBar" priority="44">
      <dataBar>
        <cfvo type="min"/>
        <cfvo type="max"/>
        <color rgb="FFFFB628"/>
      </dataBar>
      <extLst>
        <ext xmlns:x14="http://schemas.microsoft.com/office/spreadsheetml/2009/9/main" uri="{B025F937-C7B1-47D3-B67F-A62EFF666E3E}">
          <x14:id>{B6376376-3DEA-4A01-83AA-D84FD339A6A3}</x14:id>
        </ext>
      </extLst>
    </cfRule>
  </conditionalFormatting>
  <conditionalFormatting sqref="L49:L51">
    <cfRule type="dataBar" priority="43">
      <dataBar>
        <cfvo type="min"/>
        <cfvo type="max"/>
        <color rgb="FFFFB628"/>
      </dataBar>
      <extLst>
        <ext xmlns:x14="http://schemas.microsoft.com/office/spreadsheetml/2009/9/main" uri="{B025F937-C7B1-47D3-B67F-A62EFF666E3E}">
          <x14:id>{5D0AC5CC-E614-4B67-B9DF-C00683AA5FA0}</x14:id>
        </ext>
      </extLst>
    </cfRule>
  </conditionalFormatting>
  <conditionalFormatting sqref="M49:M51">
    <cfRule type="dataBar" priority="42">
      <dataBar>
        <cfvo type="min"/>
        <cfvo type="max"/>
        <color rgb="FFFFB628"/>
      </dataBar>
      <extLst>
        <ext xmlns:x14="http://schemas.microsoft.com/office/spreadsheetml/2009/9/main" uri="{B025F937-C7B1-47D3-B67F-A62EFF666E3E}">
          <x14:id>{F1A18409-E4DB-4DD1-95B7-53B6EB1F3874}</x14:id>
        </ext>
      </extLst>
    </cfRule>
  </conditionalFormatting>
  <conditionalFormatting sqref="M49:M51">
    <cfRule type="dataBar" priority="40">
      <dataBar>
        <cfvo type="min"/>
        <cfvo type="max"/>
        <color rgb="FFFFB628"/>
      </dataBar>
      <extLst>
        <ext xmlns:x14="http://schemas.microsoft.com/office/spreadsheetml/2009/9/main" uri="{B025F937-C7B1-47D3-B67F-A62EFF666E3E}">
          <x14:id>{AFE74891-23F4-4BFE-A3C8-324A72E93753}</x14:id>
        </ext>
      </extLst>
    </cfRule>
  </conditionalFormatting>
  <conditionalFormatting sqref="G49:G51">
    <cfRule type="dataBar" priority="16">
      <dataBar>
        <cfvo type="min"/>
        <cfvo type="max"/>
        <color rgb="FF008AEF"/>
      </dataBar>
      <extLst>
        <ext xmlns:x14="http://schemas.microsoft.com/office/spreadsheetml/2009/9/main" uri="{B025F937-C7B1-47D3-B67F-A62EFF666E3E}">
          <x14:id>{83945E7B-7A6D-4213-85FB-29BCD80AC4A1}</x14:id>
        </ext>
      </extLst>
    </cfRule>
  </conditionalFormatting>
  <conditionalFormatting sqref="H49:H51">
    <cfRule type="dataBar" priority="15">
      <dataBar>
        <cfvo type="min"/>
        <cfvo type="max"/>
        <color rgb="FF008AEF"/>
      </dataBar>
      <extLst>
        <ext xmlns:x14="http://schemas.microsoft.com/office/spreadsheetml/2009/9/main" uri="{B025F937-C7B1-47D3-B67F-A62EFF666E3E}">
          <x14:id>{520E94E8-B338-4CF7-BB68-CBD3905AC092}</x14:id>
        </ext>
      </extLst>
    </cfRule>
  </conditionalFormatting>
  <conditionalFormatting sqref="I49:I51">
    <cfRule type="dataBar" priority="14">
      <dataBar>
        <cfvo type="min"/>
        <cfvo type="max"/>
        <color rgb="FF008AEF"/>
      </dataBar>
      <extLst>
        <ext xmlns:x14="http://schemas.microsoft.com/office/spreadsheetml/2009/9/main" uri="{B025F937-C7B1-47D3-B67F-A62EFF666E3E}">
          <x14:id>{106476B9-8F8F-4957-B11E-03B4463CF755}</x14:id>
        </ext>
      </extLst>
    </cfRule>
  </conditionalFormatting>
  <conditionalFormatting sqref="J49:J51">
    <cfRule type="dataBar" priority="13">
      <dataBar>
        <cfvo type="min"/>
        <cfvo type="max"/>
        <color rgb="FF008AEF"/>
      </dataBar>
      <extLst>
        <ext xmlns:x14="http://schemas.microsoft.com/office/spreadsheetml/2009/9/main" uri="{B025F937-C7B1-47D3-B67F-A62EFF666E3E}">
          <x14:id>{1D245DA5-CAC9-434D-B905-89D37627733F}</x14:id>
        </ext>
      </extLst>
    </cfRule>
  </conditionalFormatting>
  <conditionalFormatting sqref="K49:K51">
    <cfRule type="dataBar" priority="12">
      <dataBar>
        <cfvo type="min"/>
        <cfvo type="max"/>
        <color rgb="FF008AEF"/>
      </dataBar>
      <extLst>
        <ext xmlns:x14="http://schemas.microsoft.com/office/spreadsheetml/2009/9/main" uri="{B025F937-C7B1-47D3-B67F-A62EFF666E3E}">
          <x14:id>{3F2D5773-AB0D-4A44-909F-597DDDF4058A}</x14:id>
        </ext>
      </extLst>
    </cfRule>
  </conditionalFormatting>
  <conditionalFormatting sqref="L49:L51">
    <cfRule type="dataBar" priority="18">
      <dataBar>
        <cfvo type="min"/>
        <cfvo type="max"/>
        <color rgb="FF638EC6"/>
      </dataBar>
      <extLst>
        <ext xmlns:x14="http://schemas.microsoft.com/office/spreadsheetml/2009/9/main" uri="{B025F937-C7B1-47D3-B67F-A62EFF666E3E}">
          <x14:id>{AB01816D-B0EB-4531-AAE3-08C68F00D0ED}</x14:id>
        </ext>
      </extLst>
    </cfRule>
  </conditionalFormatting>
  <conditionalFormatting sqref="M49:M51">
    <cfRule type="dataBar" priority="25">
      <dataBar>
        <cfvo type="min"/>
        <cfvo type="max"/>
        <color rgb="FFFF555A"/>
      </dataBar>
      <extLst>
        <ext xmlns:x14="http://schemas.microsoft.com/office/spreadsheetml/2009/9/main" uri="{B025F937-C7B1-47D3-B67F-A62EFF666E3E}">
          <x14:id>{FDD61B27-6F61-4AC1-B107-48D217732661}</x14:id>
        </ext>
      </extLst>
    </cfRule>
  </conditionalFormatting>
  <conditionalFormatting sqref="G48:M48">
    <cfRule type="dataBar" priority="26">
      <dataBar>
        <cfvo type="min"/>
        <cfvo type="max"/>
        <color rgb="FFFFB628"/>
      </dataBar>
      <extLst>
        <ext xmlns:x14="http://schemas.microsoft.com/office/spreadsheetml/2009/9/main" uri="{B025F937-C7B1-47D3-B67F-A62EFF666E3E}">
          <x14:id>{B0CFFCAC-9218-478F-9240-8A6C4A5E735A}</x14:id>
        </ext>
      </extLst>
    </cfRule>
  </conditionalFormatting>
  <conditionalFormatting sqref="G48:G51">
    <cfRule type="dataBar" priority="10">
      <dataBar>
        <cfvo type="min"/>
        <cfvo type="max"/>
        <color rgb="FF008AEF"/>
      </dataBar>
      <extLst>
        <ext xmlns:x14="http://schemas.microsoft.com/office/spreadsheetml/2009/9/main" uri="{B025F937-C7B1-47D3-B67F-A62EFF666E3E}">
          <x14:id>{5C2448D4-F88A-4E8E-B887-891943BB6307}</x14:id>
        </ext>
      </extLst>
    </cfRule>
  </conditionalFormatting>
  <conditionalFormatting sqref="H48:H51">
    <cfRule type="dataBar" priority="9">
      <dataBar>
        <cfvo type="min"/>
        <cfvo type="max"/>
        <color rgb="FF008AEF"/>
      </dataBar>
      <extLst>
        <ext xmlns:x14="http://schemas.microsoft.com/office/spreadsheetml/2009/9/main" uri="{B025F937-C7B1-47D3-B67F-A62EFF666E3E}">
          <x14:id>{1757B3B6-3C33-4846-ADC1-C4167928171A}</x14:id>
        </ext>
      </extLst>
    </cfRule>
  </conditionalFormatting>
  <conditionalFormatting sqref="I48:I51">
    <cfRule type="dataBar" priority="8">
      <dataBar>
        <cfvo type="min"/>
        <cfvo type="max"/>
        <color rgb="FF008AEF"/>
      </dataBar>
      <extLst>
        <ext xmlns:x14="http://schemas.microsoft.com/office/spreadsheetml/2009/9/main" uri="{B025F937-C7B1-47D3-B67F-A62EFF666E3E}">
          <x14:id>{C1A467AB-5718-42A5-850B-235A4943035F}</x14:id>
        </ext>
      </extLst>
    </cfRule>
  </conditionalFormatting>
  <conditionalFormatting sqref="J48:J51">
    <cfRule type="dataBar" priority="7">
      <dataBar>
        <cfvo type="min"/>
        <cfvo type="max"/>
        <color rgb="FF008AEF"/>
      </dataBar>
      <extLst>
        <ext xmlns:x14="http://schemas.microsoft.com/office/spreadsheetml/2009/9/main" uri="{B025F937-C7B1-47D3-B67F-A62EFF666E3E}">
          <x14:id>{914D844F-8E17-4A92-BEB2-BF5845245209}</x14:id>
        </ext>
      </extLst>
    </cfRule>
  </conditionalFormatting>
  <conditionalFormatting sqref="K48:K51">
    <cfRule type="dataBar" priority="6">
      <dataBar>
        <cfvo type="min"/>
        <cfvo type="max"/>
        <color rgb="FF008AEF"/>
      </dataBar>
      <extLst>
        <ext xmlns:x14="http://schemas.microsoft.com/office/spreadsheetml/2009/9/main" uri="{B025F937-C7B1-47D3-B67F-A62EFF666E3E}">
          <x14:id>{3B0AFD3F-7933-4B20-ADD2-F3365F67AD20}</x14:id>
        </ext>
      </extLst>
    </cfRule>
  </conditionalFormatting>
  <conditionalFormatting sqref="L48:L51">
    <cfRule type="dataBar" priority="5">
      <dataBar>
        <cfvo type="min"/>
        <cfvo type="max"/>
        <color rgb="FF008AEF"/>
      </dataBar>
      <extLst>
        <ext xmlns:x14="http://schemas.microsoft.com/office/spreadsheetml/2009/9/main" uri="{B025F937-C7B1-47D3-B67F-A62EFF666E3E}">
          <x14:id>{FC388507-9385-466B-818A-46B1C2BFC005}</x14:id>
        </ext>
      </extLst>
    </cfRule>
  </conditionalFormatting>
  <conditionalFormatting sqref="M48:M51">
    <cfRule type="dataBar" priority="4">
      <dataBar>
        <cfvo type="min"/>
        <cfvo type="max"/>
        <color rgb="FFFF555A"/>
      </dataBar>
      <extLst>
        <ext xmlns:x14="http://schemas.microsoft.com/office/spreadsheetml/2009/9/main" uri="{B025F937-C7B1-47D3-B67F-A62EFF666E3E}">
          <x14:id>{504DFE38-BDBC-46A9-BE55-AD5B9B8E3539}</x14:id>
        </ext>
      </extLst>
    </cfRule>
  </conditionalFormatting>
  <conditionalFormatting sqref="A10:A74">
    <cfRule type="cellIs" dxfId="11" priority="2" operator="equal">
      <formula>1</formula>
    </cfRule>
  </conditionalFormatting>
  <dataValidations count="8">
    <dataValidation type="list" showInputMessage="1" showErrorMessage="1" sqref="J20:N20" xr:uid="{00000000-0002-0000-0100-000001000000}">
      <formula1>RecognisedToolsRIBA4</formula1>
    </dataValidation>
    <dataValidation type="list" allowBlank="1" showInputMessage="1" showErrorMessage="1" sqref="J42 J19 J62" xr:uid="{00000000-0002-0000-0100-000002000000}">
      <formula1>"Yes, No"</formula1>
    </dataValidation>
    <dataValidation type="list" allowBlank="1" showInputMessage="1" showErrorMessage="1" sqref="J24:N24" xr:uid="{00000000-0002-0000-0100-000003000000}">
      <formula1>RecognisedToolsBM</formula1>
    </dataValidation>
    <dataValidation type="list" allowBlank="1" showInputMessage="1" showErrorMessage="1" sqref="J56" xr:uid="{00000000-0002-0000-0100-000004000000}">
      <formula1>"Yes,No"</formula1>
    </dataValidation>
    <dataValidation type="list" allowBlank="1" showInputMessage="1" showErrorMessage="1" sqref="U49" xr:uid="{00000000-0002-0000-0100-000005000000}">
      <formula1>RIBAStage3or4Options</formula1>
    </dataValidation>
    <dataValidation type="date" operator="greaterThanOrEqual" allowBlank="1" showInputMessage="1" showErrorMessage="1" error="That date is in the past." sqref="E48 U50:U51" xr:uid="{00000000-0002-0000-0100-000006000000}">
      <formula1>TODAY()</formula1>
    </dataValidation>
    <dataValidation type="decimal" operator="greaterThan" allowBlank="1" showInputMessage="1" showErrorMessage="1" error="A value above zero must be entered." sqref="J12:N13" xr:uid="{00000000-0002-0000-0100-000007000000}">
      <formula1>0</formula1>
    </dataValidation>
    <dataValidation type="list" showInputMessage="1" showErrorMessage="1" sqref="J15:N15" xr:uid="{00000000-0002-0000-0100-000008000000}">
      <formula1>RecognisedToolsBM</formula1>
    </dataValidation>
  </dataValidations>
  <hyperlinks>
    <hyperlink ref="D49" r:id="rId1" xr:uid="{00000000-0004-0000-0100-000000000000}"/>
    <hyperlink ref="D51" r:id="rId2" xr:uid="{00000000-0004-0000-0100-000001000000}"/>
    <hyperlink ref="D50" r:id="rId3" xr:uid="{00000000-0004-0000-0100-000002000000}"/>
    <hyperlink ref="N50" location="'DifferencesID15,16'!C9" display="Link" xr:uid="{00000000-0004-0000-0100-000003000000}"/>
    <hyperlink ref="N51" location="'DifferencesID15,16'!C32" display="Link" xr:uid="{00000000-0004-0000-0100-000004000000}"/>
    <hyperlink ref="I15" location="ToolsRecognisedbyBREEAM!A1" display="Tools" xr:uid="{00000000-0004-0000-0100-000005000000}"/>
    <hyperlink ref="I20" location="ToolsRecognisedbyBREEAM!A1" display="Tools" xr:uid="{00000000-0004-0000-0100-000006000000}"/>
    <hyperlink ref="B3" location="MAT01_ConceptDesign!A1" display="Return to Concept Design Sheet" xr:uid="{00000000-0004-0000-0100-000007000000}"/>
    <hyperlink ref="D3" location="MAT02_EPDSchedule!A1" display="MAT 02 EPD schedule sheet" xr:uid="{00000000-0004-0000-0100-000008000000}"/>
    <hyperlink ref="D34" r:id="rId4" xr:uid="{00000000-0004-0000-0100-000009000000}"/>
  </hyperlinks>
  <pageMargins left="0.7" right="0.7" top="0.75" bottom="0.75" header="0.3" footer="0.3"/>
  <pageSetup paperSize="9" orientation="portrait" r:id="rId5"/>
  <drawing r:id="rId6"/>
  <extLst>
    <ext xmlns:x14="http://schemas.microsoft.com/office/spreadsheetml/2009/9/main" uri="{78C0D931-6437-407d-A8EE-F0AAD7539E65}">
      <x14:conditionalFormattings>
        <x14:conditionalFormatting xmlns:xm="http://schemas.microsoft.com/office/excel/2006/main">
          <x14:cfRule type="dataBar" id="{4A176593-85E0-4B68-ADDC-D51E5F9D05E0}">
            <x14:dataBar minLength="0" maxLength="100" border="1" negativeBarBorderColorSameAsPositive="0">
              <x14:cfvo type="autoMin"/>
              <x14:cfvo type="autoMax"/>
              <x14:borderColor rgb="FF008AEF"/>
              <x14:negativeFillColor rgb="FFFF0000"/>
              <x14:negativeBorderColor rgb="FFFF0000"/>
              <x14:axisColor rgb="FF000000"/>
            </x14:dataBar>
          </x14:cfRule>
          <xm:sqref>F49:F51</xm:sqref>
        </x14:conditionalFormatting>
        <x14:conditionalFormatting xmlns:xm="http://schemas.microsoft.com/office/excel/2006/main">
          <x14:cfRule type="dataBar" id="{DDC536B4-AA1B-4BB9-9F58-03A7EEE49D9B}">
            <x14:dataBar minLength="0" maxLength="100" border="1" negativeBarBorderColorSameAsPositive="0">
              <x14:cfvo type="autoMin"/>
              <x14:cfvo type="autoMax"/>
              <x14:borderColor rgb="FFFFB628"/>
              <x14:negativeFillColor rgb="FFFF0000"/>
              <x14:negativeBorderColor rgb="FFFF0000"/>
              <x14:axisColor rgb="FF000000"/>
            </x14:dataBar>
          </x14:cfRule>
          <xm:sqref>G49:G51</xm:sqref>
        </x14:conditionalFormatting>
        <x14:conditionalFormatting xmlns:xm="http://schemas.microsoft.com/office/excel/2006/main">
          <x14:cfRule type="dataBar" id="{EE7B0E79-8A77-47BC-847F-61E4723280F9}">
            <x14:dataBar minLength="0" maxLength="100" border="1" negativeBarBorderColorSameAsPositive="0">
              <x14:cfvo type="autoMin"/>
              <x14:cfvo type="autoMax"/>
              <x14:borderColor rgb="FFFFB628"/>
              <x14:negativeFillColor rgb="FFFF0000"/>
              <x14:negativeBorderColor rgb="FFFF0000"/>
              <x14:axisColor rgb="FF000000"/>
            </x14:dataBar>
          </x14:cfRule>
          <xm:sqref>H49:H51</xm:sqref>
        </x14:conditionalFormatting>
        <x14:conditionalFormatting xmlns:xm="http://schemas.microsoft.com/office/excel/2006/main">
          <x14:cfRule type="dataBar" id="{B794B33B-4689-452D-AE33-1E5E636C178F}">
            <x14:dataBar minLength="0" maxLength="100" border="1" negativeBarBorderColorSameAsPositive="0">
              <x14:cfvo type="autoMin"/>
              <x14:cfvo type="autoMax"/>
              <x14:borderColor rgb="FFFFB628"/>
              <x14:negativeFillColor rgb="FFFF0000"/>
              <x14:negativeBorderColor rgb="FFFF0000"/>
              <x14:axisColor rgb="FF000000"/>
            </x14:dataBar>
          </x14:cfRule>
          <xm:sqref>I49:I51</xm:sqref>
        </x14:conditionalFormatting>
        <x14:conditionalFormatting xmlns:xm="http://schemas.microsoft.com/office/excel/2006/main">
          <x14:cfRule type="dataBar" id="{FCCBC216-F3A8-4220-8726-215C8A48165E}">
            <x14:dataBar minLength="0" maxLength="100" border="1" negativeBarBorderColorSameAsPositive="0">
              <x14:cfvo type="autoMin"/>
              <x14:cfvo type="autoMax"/>
              <x14:borderColor rgb="FFFFB628"/>
              <x14:negativeFillColor rgb="FFFF0000"/>
              <x14:negativeBorderColor rgb="FFFF0000"/>
              <x14:axisColor rgb="FF000000"/>
            </x14:dataBar>
          </x14:cfRule>
          <xm:sqref>J49:J51</xm:sqref>
        </x14:conditionalFormatting>
        <x14:conditionalFormatting xmlns:xm="http://schemas.microsoft.com/office/excel/2006/main">
          <x14:cfRule type="dataBar" id="{74BF69B1-0E3F-4050-9CFD-442C25B89F7B}">
            <x14:dataBar minLength="0" maxLength="100" border="1" negativeBarBorderColorSameAsPositive="0">
              <x14:cfvo type="autoMin"/>
              <x14:cfvo type="autoMax"/>
              <x14:borderColor rgb="FFFFB628"/>
              <x14:negativeFillColor rgb="FFFF0000"/>
              <x14:negativeBorderColor rgb="FFFF0000"/>
              <x14:axisColor rgb="FF000000"/>
            </x14:dataBar>
          </x14:cfRule>
          <xm:sqref>K49:K51</xm:sqref>
        </x14:conditionalFormatting>
        <x14:conditionalFormatting xmlns:xm="http://schemas.microsoft.com/office/excel/2006/main">
          <x14:cfRule type="dataBar" id="{82AD6861-16AA-460C-8950-ECC6886EBDDD}">
            <x14:dataBar minLength="0" maxLength="100" border="1" negativeBarBorderColorSameAsPositive="0">
              <x14:cfvo type="autoMin"/>
              <x14:cfvo type="autoMax"/>
              <x14:borderColor rgb="FFFFB628"/>
              <x14:negativeFillColor rgb="FFFF0000"/>
              <x14:negativeBorderColor rgb="FFFF0000"/>
              <x14:axisColor rgb="FF000000"/>
            </x14:dataBar>
          </x14:cfRule>
          <xm:sqref>L49:L51</xm:sqref>
        </x14:conditionalFormatting>
        <x14:conditionalFormatting xmlns:xm="http://schemas.microsoft.com/office/excel/2006/main">
          <x14:cfRule type="dataBar" id="{E5575F71-0DAA-400C-A0BB-E08B0FFC57F1}">
            <x14:dataBar minLength="0" maxLength="100" gradient="0">
              <x14:cfvo type="autoMin"/>
              <x14:cfvo type="autoMax"/>
              <x14:negativeFillColor rgb="FFFF0000"/>
              <x14:axisColor rgb="FF000000"/>
            </x14:dataBar>
          </x14:cfRule>
          <xm:sqref>M49:M51</xm:sqref>
        </x14:conditionalFormatting>
        <x14:conditionalFormatting xmlns:xm="http://schemas.microsoft.com/office/excel/2006/main">
          <x14:cfRule type="dataBar" id="{A521AC28-94BF-4FE6-8E60-4A90BFE962EB}">
            <x14:dataBar minLength="0" maxLength="100" border="1" negativeBarBorderColorSameAsPositive="0">
              <x14:cfvo type="autoMin"/>
              <x14:cfvo type="autoMax"/>
              <x14:borderColor rgb="FF008AEF"/>
              <x14:negativeFillColor rgb="FFFF0000"/>
              <x14:negativeBorderColor rgb="FFFF0000"/>
              <x14:axisColor rgb="FF000000"/>
            </x14:dataBar>
          </x14:cfRule>
          <xm:sqref>F48:F51</xm:sqref>
        </x14:conditionalFormatting>
        <x14:conditionalFormatting xmlns:xm="http://schemas.microsoft.com/office/excel/2006/main">
          <x14:cfRule type="dataBar" id="{608B123B-4C92-465C-A79F-7DE115E88A00}">
            <x14:dataBar minLength="0" maxLength="100" border="1" negativeBarBorderColorSameAsPositive="0">
              <x14:cfvo type="autoMin"/>
              <x14:cfvo type="autoMax"/>
              <x14:borderColor rgb="FFFFB628"/>
              <x14:negativeFillColor rgb="FFFF0000"/>
              <x14:negativeBorderColor rgb="FFFF0000"/>
              <x14:axisColor rgb="FF000000"/>
            </x14:dataBar>
          </x14:cfRule>
          <xm:sqref>G49:G51</xm:sqref>
        </x14:conditionalFormatting>
        <x14:conditionalFormatting xmlns:xm="http://schemas.microsoft.com/office/excel/2006/main">
          <x14:cfRule type="dataBar" id="{3D1A5E1B-CF38-4702-9D63-3841FDDD1E55}">
            <x14:dataBar minLength="0" maxLength="100" border="1" negativeBarBorderColorSameAsPositive="0">
              <x14:cfvo type="autoMin"/>
              <x14:cfvo type="autoMax"/>
              <x14:borderColor rgb="FFFFB628"/>
              <x14:negativeFillColor rgb="FFFF0000"/>
              <x14:negativeBorderColor rgb="FFFF0000"/>
              <x14:axisColor rgb="FF000000"/>
            </x14:dataBar>
          </x14:cfRule>
          <xm:sqref>H49:H51</xm:sqref>
        </x14:conditionalFormatting>
        <x14:conditionalFormatting xmlns:xm="http://schemas.microsoft.com/office/excel/2006/main">
          <x14:cfRule type="dataBar" id="{0C3DB662-62BE-45EC-B68B-046F26761105}">
            <x14:dataBar minLength="0" maxLength="100" border="1" negativeBarBorderColorSameAsPositive="0">
              <x14:cfvo type="autoMin"/>
              <x14:cfvo type="autoMax"/>
              <x14:borderColor rgb="FFFFB628"/>
              <x14:negativeFillColor rgb="FFFF0000"/>
              <x14:negativeBorderColor rgb="FFFF0000"/>
              <x14:axisColor rgb="FF000000"/>
            </x14:dataBar>
          </x14:cfRule>
          <xm:sqref>I49:I51</xm:sqref>
        </x14:conditionalFormatting>
        <x14:conditionalFormatting xmlns:xm="http://schemas.microsoft.com/office/excel/2006/main">
          <x14:cfRule type="dataBar" id="{C31ECB21-2C45-4FBB-87FA-3D8483C7C91C}">
            <x14:dataBar minLength="0" maxLength="100" border="1" negativeBarBorderColorSameAsPositive="0">
              <x14:cfvo type="autoMin"/>
              <x14:cfvo type="autoMax"/>
              <x14:borderColor rgb="FFFFB628"/>
              <x14:negativeFillColor rgb="FFFF0000"/>
              <x14:negativeBorderColor rgb="FFFF0000"/>
              <x14:axisColor rgb="FF000000"/>
            </x14:dataBar>
          </x14:cfRule>
          <xm:sqref>J49:J51</xm:sqref>
        </x14:conditionalFormatting>
        <x14:conditionalFormatting xmlns:xm="http://schemas.microsoft.com/office/excel/2006/main">
          <x14:cfRule type="dataBar" id="{B6376376-3DEA-4A01-83AA-D84FD339A6A3}">
            <x14:dataBar minLength="0" maxLength="100" border="1" negativeBarBorderColorSameAsPositive="0">
              <x14:cfvo type="autoMin"/>
              <x14:cfvo type="autoMax"/>
              <x14:borderColor rgb="FFFFB628"/>
              <x14:negativeFillColor rgb="FFFF0000"/>
              <x14:negativeBorderColor rgb="FFFF0000"/>
              <x14:axisColor rgb="FF000000"/>
            </x14:dataBar>
          </x14:cfRule>
          <xm:sqref>K49:K51</xm:sqref>
        </x14:conditionalFormatting>
        <x14:conditionalFormatting xmlns:xm="http://schemas.microsoft.com/office/excel/2006/main">
          <x14:cfRule type="dataBar" id="{5D0AC5CC-E614-4B67-B9DF-C00683AA5FA0}">
            <x14:dataBar minLength="0" maxLength="100" border="1" negativeBarBorderColorSameAsPositive="0">
              <x14:cfvo type="autoMin"/>
              <x14:cfvo type="autoMax"/>
              <x14:borderColor rgb="FFFFB628"/>
              <x14:negativeFillColor rgb="FFFF0000"/>
              <x14:negativeBorderColor rgb="FFFF0000"/>
              <x14:axisColor rgb="FF000000"/>
            </x14:dataBar>
          </x14:cfRule>
          <xm:sqref>L49:L51</xm:sqref>
        </x14:conditionalFormatting>
        <x14:conditionalFormatting xmlns:xm="http://schemas.microsoft.com/office/excel/2006/main">
          <x14:cfRule type="dataBar" id="{F1A18409-E4DB-4DD1-95B7-53B6EB1F3874}">
            <x14:dataBar minLength="0" maxLength="100" gradient="0">
              <x14:cfvo type="autoMin"/>
              <x14:cfvo type="autoMax"/>
              <x14:negativeFillColor rgb="FFFF0000"/>
              <x14:axisColor rgb="FF000000"/>
            </x14:dataBar>
          </x14:cfRule>
          <xm:sqref>M49:M51</xm:sqref>
        </x14:conditionalFormatting>
        <x14:conditionalFormatting xmlns:xm="http://schemas.microsoft.com/office/excel/2006/main">
          <x14:cfRule type="dataBar" id="{AFE74891-23F4-4BFE-A3C8-324A72E93753}">
            <x14:dataBar minLength="0" maxLength="100" gradient="0">
              <x14:cfvo type="autoMin"/>
              <x14:cfvo type="autoMax"/>
              <x14:negativeFillColor rgb="FFFF0000"/>
              <x14:axisColor rgb="FF000000"/>
            </x14:dataBar>
          </x14:cfRule>
          <xm:sqref>M49:M51</xm:sqref>
        </x14:conditionalFormatting>
        <x14:conditionalFormatting xmlns:xm="http://schemas.microsoft.com/office/excel/2006/main">
          <x14:cfRule type="dataBar" id="{83945E7B-7A6D-4213-85FB-29BCD80AC4A1}">
            <x14:dataBar minLength="0" maxLength="100" border="1" negativeBarBorderColorSameAsPositive="0">
              <x14:cfvo type="autoMin"/>
              <x14:cfvo type="autoMax"/>
              <x14:borderColor rgb="FF008AEF"/>
              <x14:negativeFillColor rgb="FFFF0000"/>
              <x14:negativeBorderColor rgb="FFFF0000"/>
              <x14:axisColor rgb="FF000000"/>
            </x14:dataBar>
          </x14:cfRule>
          <xm:sqref>G49:G51</xm:sqref>
        </x14:conditionalFormatting>
        <x14:conditionalFormatting xmlns:xm="http://schemas.microsoft.com/office/excel/2006/main">
          <x14:cfRule type="dataBar" id="{520E94E8-B338-4CF7-BB68-CBD3905AC092}">
            <x14:dataBar minLength="0" maxLength="100" border="1" negativeBarBorderColorSameAsPositive="0">
              <x14:cfvo type="autoMin"/>
              <x14:cfvo type="autoMax"/>
              <x14:borderColor rgb="FF008AEF"/>
              <x14:negativeFillColor rgb="FFFF0000"/>
              <x14:negativeBorderColor rgb="FFFF0000"/>
              <x14:axisColor rgb="FF000000"/>
            </x14:dataBar>
          </x14:cfRule>
          <xm:sqref>H49:H51</xm:sqref>
        </x14:conditionalFormatting>
        <x14:conditionalFormatting xmlns:xm="http://schemas.microsoft.com/office/excel/2006/main">
          <x14:cfRule type="dataBar" id="{106476B9-8F8F-4957-B11E-03B4463CF755}">
            <x14:dataBar minLength="0" maxLength="100" border="1" negativeBarBorderColorSameAsPositive="0">
              <x14:cfvo type="autoMin"/>
              <x14:cfvo type="autoMax"/>
              <x14:borderColor rgb="FF008AEF"/>
              <x14:negativeFillColor rgb="FFFF0000"/>
              <x14:negativeBorderColor rgb="FFFF0000"/>
              <x14:axisColor rgb="FF000000"/>
            </x14:dataBar>
          </x14:cfRule>
          <xm:sqref>I49:I51</xm:sqref>
        </x14:conditionalFormatting>
        <x14:conditionalFormatting xmlns:xm="http://schemas.microsoft.com/office/excel/2006/main">
          <x14:cfRule type="dataBar" id="{1D245DA5-CAC9-434D-B905-89D37627733F}">
            <x14:dataBar minLength="0" maxLength="100" border="1" negativeBarBorderColorSameAsPositive="0">
              <x14:cfvo type="autoMin"/>
              <x14:cfvo type="autoMax"/>
              <x14:borderColor rgb="FF008AEF"/>
              <x14:negativeFillColor rgb="FFFF0000"/>
              <x14:negativeBorderColor rgb="FFFF0000"/>
              <x14:axisColor rgb="FF000000"/>
            </x14:dataBar>
          </x14:cfRule>
          <xm:sqref>J49:J51</xm:sqref>
        </x14:conditionalFormatting>
        <x14:conditionalFormatting xmlns:xm="http://schemas.microsoft.com/office/excel/2006/main">
          <x14:cfRule type="dataBar" id="{3F2D5773-AB0D-4A44-909F-597DDDF4058A}">
            <x14:dataBar minLength="0" maxLength="100" border="1" negativeBarBorderColorSameAsPositive="0">
              <x14:cfvo type="autoMin"/>
              <x14:cfvo type="autoMax"/>
              <x14:borderColor rgb="FF008AEF"/>
              <x14:negativeFillColor rgb="FFFF0000"/>
              <x14:negativeBorderColor rgb="FFFF0000"/>
              <x14:axisColor rgb="FF000000"/>
            </x14:dataBar>
          </x14:cfRule>
          <xm:sqref>K49:K51</xm:sqref>
        </x14:conditionalFormatting>
        <x14:conditionalFormatting xmlns:xm="http://schemas.microsoft.com/office/excel/2006/main">
          <x14:cfRule type="dataBar" id="{AB01816D-B0EB-4531-AAE3-08C68F00D0ED}">
            <x14:dataBar minLength="0" maxLength="100" border="1" negativeBarBorderColorSameAsPositive="0">
              <x14:cfvo type="autoMin"/>
              <x14:cfvo type="autoMax"/>
              <x14:borderColor rgb="FF638EC6"/>
              <x14:negativeFillColor rgb="FFFF0000"/>
              <x14:negativeBorderColor rgb="FFFF0000"/>
              <x14:axisColor rgb="FF000000"/>
            </x14:dataBar>
          </x14:cfRule>
          <xm:sqref>L49:L51</xm:sqref>
        </x14:conditionalFormatting>
        <x14:conditionalFormatting xmlns:xm="http://schemas.microsoft.com/office/excel/2006/main">
          <x14:cfRule type="dataBar" id="{FDD61B27-6F61-4AC1-B107-48D217732661}">
            <x14:dataBar minLength="0" maxLength="100" border="1" negativeBarBorderColorSameAsPositive="0">
              <x14:cfvo type="autoMin"/>
              <x14:cfvo type="autoMax"/>
              <x14:borderColor rgb="FFFF555A"/>
              <x14:negativeFillColor rgb="FFFF0000"/>
              <x14:negativeBorderColor rgb="FFFF0000"/>
              <x14:axisColor rgb="FF000000"/>
            </x14:dataBar>
          </x14:cfRule>
          <xm:sqref>M49:M51</xm:sqref>
        </x14:conditionalFormatting>
        <x14:conditionalFormatting xmlns:xm="http://schemas.microsoft.com/office/excel/2006/main">
          <x14:cfRule type="dataBar" id="{B0CFFCAC-9218-478F-9240-8A6C4A5E735A}">
            <x14:dataBar minLength="0" maxLength="100" gradient="0">
              <x14:cfvo type="autoMin"/>
              <x14:cfvo type="autoMax"/>
              <x14:negativeFillColor rgb="FFFF0000"/>
              <x14:axisColor rgb="FF000000"/>
            </x14:dataBar>
          </x14:cfRule>
          <xm:sqref>G48:M48</xm:sqref>
        </x14:conditionalFormatting>
        <x14:conditionalFormatting xmlns:xm="http://schemas.microsoft.com/office/excel/2006/main">
          <x14:cfRule type="dataBar" id="{5C2448D4-F88A-4E8E-B887-891943BB6307}">
            <x14:dataBar minLength="0" maxLength="100" border="1" negativeBarBorderColorSameAsPositive="0">
              <x14:cfvo type="autoMin"/>
              <x14:cfvo type="autoMax"/>
              <x14:borderColor rgb="FF008AEF"/>
              <x14:negativeFillColor rgb="FFFF0000"/>
              <x14:negativeBorderColor rgb="FFFF0000"/>
              <x14:axisColor rgb="FF000000"/>
            </x14:dataBar>
          </x14:cfRule>
          <xm:sqref>G48:G51</xm:sqref>
        </x14:conditionalFormatting>
        <x14:conditionalFormatting xmlns:xm="http://schemas.microsoft.com/office/excel/2006/main">
          <x14:cfRule type="dataBar" id="{1757B3B6-3C33-4846-ADC1-C4167928171A}">
            <x14:dataBar minLength="0" maxLength="100" border="1" negativeBarBorderColorSameAsPositive="0">
              <x14:cfvo type="autoMin"/>
              <x14:cfvo type="autoMax"/>
              <x14:borderColor rgb="FF008AEF"/>
              <x14:negativeFillColor rgb="FFFF0000"/>
              <x14:negativeBorderColor rgb="FFFF0000"/>
              <x14:axisColor rgb="FF000000"/>
            </x14:dataBar>
          </x14:cfRule>
          <xm:sqref>H48:H51</xm:sqref>
        </x14:conditionalFormatting>
        <x14:conditionalFormatting xmlns:xm="http://schemas.microsoft.com/office/excel/2006/main">
          <x14:cfRule type="dataBar" id="{C1A467AB-5718-42A5-850B-235A4943035F}">
            <x14:dataBar minLength="0" maxLength="100" border="1" negativeBarBorderColorSameAsPositive="0">
              <x14:cfvo type="autoMin"/>
              <x14:cfvo type="autoMax"/>
              <x14:borderColor rgb="FF008AEF"/>
              <x14:negativeFillColor rgb="FFFF0000"/>
              <x14:negativeBorderColor rgb="FFFF0000"/>
              <x14:axisColor rgb="FF000000"/>
            </x14:dataBar>
          </x14:cfRule>
          <xm:sqref>I48:I51</xm:sqref>
        </x14:conditionalFormatting>
        <x14:conditionalFormatting xmlns:xm="http://schemas.microsoft.com/office/excel/2006/main">
          <x14:cfRule type="dataBar" id="{914D844F-8E17-4A92-BEB2-BF5845245209}">
            <x14:dataBar minLength="0" maxLength="100" border="1" negativeBarBorderColorSameAsPositive="0">
              <x14:cfvo type="autoMin"/>
              <x14:cfvo type="autoMax"/>
              <x14:borderColor rgb="FF008AEF"/>
              <x14:negativeFillColor rgb="FFFF0000"/>
              <x14:negativeBorderColor rgb="FFFF0000"/>
              <x14:axisColor rgb="FF000000"/>
            </x14:dataBar>
          </x14:cfRule>
          <xm:sqref>J48:J51</xm:sqref>
        </x14:conditionalFormatting>
        <x14:conditionalFormatting xmlns:xm="http://schemas.microsoft.com/office/excel/2006/main">
          <x14:cfRule type="dataBar" id="{3B0AFD3F-7933-4B20-ADD2-F3365F67AD20}">
            <x14:dataBar minLength="0" maxLength="100" border="1" negativeBarBorderColorSameAsPositive="0">
              <x14:cfvo type="autoMin"/>
              <x14:cfvo type="autoMax"/>
              <x14:borderColor rgb="FF008AEF"/>
              <x14:negativeFillColor rgb="FFFF0000"/>
              <x14:negativeBorderColor rgb="FFFF0000"/>
              <x14:axisColor rgb="FF000000"/>
            </x14:dataBar>
          </x14:cfRule>
          <xm:sqref>K48:K51</xm:sqref>
        </x14:conditionalFormatting>
        <x14:conditionalFormatting xmlns:xm="http://schemas.microsoft.com/office/excel/2006/main">
          <x14:cfRule type="dataBar" id="{FC388507-9385-466B-818A-46B1C2BFC005}">
            <x14:dataBar minLength="0" maxLength="100" border="1" negativeBarBorderColorSameAsPositive="0">
              <x14:cfvo type="autoMin"/>
              <x14:cfvo type="autoMax"/>
              <x14:borderColor rgb="FF008AEF"/>
              <x14:negativeFillColor rgb="FFFF0000"/>
              <x14:negativeBorderColor rgb="FFFF0000"/>
              <x14:axisColor rgb="FF000000"/>
            </x14:dataBar>
          </x14:cfRule>
          <xm:sqref>L48:L51</xm:sqref>
        </x14:conditionalFormatting>
        <x14:conditionalFormatting xmlns:xm="http://schemas.microsoft.com/office/excel/2006/main">
          <x14:cfRule type="dataBar" id="{504DFE38-BDBC-46A9-BE55-AD5B9B8E3539}">
            <x14:dataBar minLength="0" maxLength="100" border="1" negativeBarBorderColorSameAsPositive="0">
              <x14:cfvo type="autoMin"/>
              <x14:cfvo type="autoMax"/>
              <x14:borderColor rgb="FFFF555A"/>
              <x14:negativeFillColor rgb="FFFF0000"/>
              <x14:negativeBorderColor rgb="FFFF0000"/>
              <x14:axisColor rgb="FF000000"/>
            </x14:dataBar>
          </x14:cfRule>
          <xm:sqref>M48:M51</xm:sqref>
        </x14:conditionalFormatting>
        <x14:conditionalFormatting xmlns:xm="http://schemas.microsoft.com/office/excel/2006/main">
          <x14:cfRule type="expression" priority="1" id="{2EDF98C7-0461-433F-A283-3365DB596FC9}">
            <xm:f>$B$30=Lookups!$B$60</xm:f>
            <x14:dxf>
              <font>
                <color theme="0" tint="-0.14996795556505021"/>
              </font>
              <fill>
                <patternFill>
                  <bgColor theme="0" tint="-0.14996795556505021"/>
                </patternFill>
              </fill>
            </x14:dxf>
          </x14:cfRule>
          <xm:sqref>B34:M34 J37:N40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3D6864"/>
  </sheetPr>
  <dimension ref="A1:T232"/>
  <sheetViews>
    <sheetView showGridLines="0" zoomScale="70" zoomScaleNormal="70" workbookViewId="0">
      <selection activeCell="B29" sqref="B29"/>
    </sheetView>
  </sheetViews>
  <sheetFormatPr defaultColWidth="0" defaultRowHeight="15" zeroHeight="1" x14ac:dyDescent="0.25"/>
  <cols>
    <col min="1" max="1" width="3.28515625" style="95" customWidth="1"/>
    <col min="2" max="2" width="23.7109375" style="95" customWidth="1"/>
    <col min="3" max="3" width="23.28515625" style="95" customWidth="1"/>
    <col min="4" max="4" width="19.85546875" style="95" customWidth="1"/>
    <col min="5" max="5" width="19.28515625" style="95" customWidth="1"/>
    <col min="6" max="6" width="39.85546875" style="95" customWidth="1"/>
    <col min="7" max="7" width="26.140625" style="95" customWidth="1"/>
    <col min="8" max="8" width="35.7109375" style="95" customWidth="1"/>
    <col min="9" max="9" width="17.140625" style="95" customWidth="1"/>
    <col min="10" max="10" width="9.140625" style="95" customWidth="1"/>
    <col min="11" max="17" width="9.140625" style="95" hidden="1" customWidth="1"/>
    <col min="18" max="16384" width="9.140625" style="95" hidden="1"/>
  </cols>
  <sheetData>
    <row r="1" spans="1:20" ht="15" customHeight="1" x14ac:dyDescent="0.25">
      <c r="A1" s="94"/>
      <c r="K1" s="411" t="s">
        <v>331</v>
      </c>
      <c r="L1" s="411"/>
      <c r="M1" s="411"/>
      <c r="N1" s="411"/>
      <c r="O1" s="411"/>
      <c r="P1" s="411"/>
      <c r="Q1" s="411"/>
      <c r="T1" s="96"/>
    </row>
    <row r="2" spans="1:20" ht="56.45" customHeight="1" x14ac:dyDescent="0.25">
      <c r="A2" s="94"/>
      <c r="B2" s="38" t="str">
        <f>MAT01_ConceptDesign!B2</f>
        <v>BREEAM UK NC (2018) Mat 01/02 Results Submission Tool</v>
      </c>
      <c r="C2" s="38"/>
      <c r="D2" s="38"/>
      <c r="E2" s="38"/>
      <c r="F2" s="38"/>
      <c r="G2" s="38"/>
      <c r="H2" s="38"/>
      <c r="I2" s="54"/>
      <c r="J2" s="54"/>
      <c r="K2" s="54"/>
      <c r="L2" s="54"/>
      <c r="M2" s="54"/>
      <c r="N2" s="54"/>
      <c r="O2" s="54"/>
      <c r="P2" s="54"/>
      <c r="Q2" s="54"/>
      <c r="R2" s="54"/>
      <c r="T2" s="96"/>
    </row>
    <row r="3" spans="1:20" ht="21" x14ac:dyDescent="0.25">
      <c r="A3" s="94"/>
      <c r="B3" s="97" t="s">
        <v>170</v>
      </c>
      <c r="C3" s="97" t="s">
        <v>171</v>
      </c>
      <c r="T3" s="96"/>
    </row>
    <row r="4" spans="1:20" ht="21" x14ac:dyDescent="0.35">
      <c r="A4" s="94"/>
      <c r="B4" s="98"/>
      <c r="C4" s="98"/>
      <c r="D4" s="98"/>
      <c r="E4" s="99"/>
      <c r="T4" s="96"/>
    </row>
    <row r="5" spans="1:20" ht="21" x14ac:dyDescent="0.25">
      <c r="A5" s="94"/>
      <c r="T5" s="96"/>
    </row>
    <row r="6" spans="1:20" s="100" customFormat="1" ht="34.9" customHeight="1" x14ac:dyDescent="0.25">
      <c r="B6" s="37" t="s">
        <v>158</v>
      </c>
      <c r="C6" s="37"/>
      <c r="D6" s="37"/>
      <c r="E6" s="38"/>
      <c r="F6" s="38"/>
      <c r="G6" s="38"/>
      <c r="H6" s="38"/>
      <c r="I6" s="38"/>
      <c r="J6" s="54"/>
      <c r="K6" s="54"/>
      <c r="L6" s="54"/>
    </row>
    <row r="7" spans="1:20" s="101" customFormat="1" ht="21" customHeight="1" x14ac:dyDescent="0.25">
      <c r="B7" s="83"/>
      <c r="C7" s="83"/>
      <c r="D7" s="83"/>
      <c r="E7" s="85"/>
      <c r="F7" s="85"/>
      <c r="G7" s="85"/>
      <c r="H7" s="85"/>
      <c r="I7" s="85"/>
      <c r="J7" s="54"/>
      <c r="K7" s="54"/>
      <c r="L7" s="54"/>
    </row>
    <row r="8" spans="1:20" s="101" customFormat="1" ht="21" customHeight="1" thickBot="1" x14ac:dyDescent="0.3">
      <c r="B8" s="102" t="s">
        <v>230</v>
      </c>
      <c r="C8" s="103"/>
      <c r="D8" s="103"/>
      <c r="E8" s="104"/>
      <c r="F8" s="104"/>
      <c r="G8" s="104"/>
      <c r="H8" s="104"/>
      <c r="I8" s="104"/>
      <c r="J8" s="54"/>
      <c r="K8" s="343" t="s">
        <v>142</v>
      </c>
      <c r="L8" s="343" t="s">
        <v>144</v>
      </c>
      <c r="M8" s="343" t="s">
        <v>151</v>
      </c>
      <c r="N8" s="343" t="s">
        <v>153</v>
      </c>
    </row>
    <row r="9" spans="1:20" s="101" customFormat="1" ht="21" customHeight="1" x14ac:dyDescent="0.25">
      <c r="B9" s="83"/>
      <c r="C9" s="83"/>
      <c r="D9" s="83"/>
      <c r="E9" s="85"/>
      <c r="F9" s="85"/>
      <c r="G9" s="85"/>
      <c r="H9" s="85"/>
      <c r="I9" s="85"/>
      <c r="J9" s="54"/>
      <c r="K9" s="115">
        <f>SUMIF(EPDListTable[Product classification],Class_P1,EPDListTable[EPD Points])</f>
        <v>0</v>
      </c>
      <c r="L9" s="114">
        <f>SUMIF(EPDListTable[Product classification],Class_P3,EPDListTable[EPD Points])</f>
        <v>0</v>
      </c>
      <c r="M9" s="114">
        <f>SUMIF(EPDListTable[Product classification],Class_P7,EPDListTable[EPD Points])</f>
        <v>0</v>
      </c>
      <c r="N9" s="114">
        <f>SUMIF(EPDListTable[Product classification],Class_P34,EPDListTable[EPD Points])</f>
        <v>0</v>
      </c>
    </row>
    <row r="10" spans="1:20" s="101" customFormat="1" ht="30.75" thickBot="1" x14ac:dyDescent="0.3">
      <c r="B10" s="92" t="s">
        <v>227</v>
      </c>
      <c r="C10" s="92" t="s">
        <v>228</v>
      </c>
      <c r="D10" s="92" t="s">
        <v>236</v>
      </c>
      <c r="E10" s="87"/>
      <c r="F10" s="84" t="s">
        <v>234</v>
      </c>
      <c r="G10" s="85"/>
      <c r="H10" s="85"/>
      <c r="I10" s="85"/>
      <c r="J10" s="54"/>
      <c r="K10" s="54"/>
      <c r="L10" s="54"/>
    </row>
    <row r="11" spans="1:20" s="101" customFormat="1" ht="21" customHeight="1" x14ac:dyDescent="0.25">
      <c r="B11" s="89" t="str">
        <f>Class_P5</f>
        <v>P5</v>
      </c>
      <c r="C11" s="114">
        <f>SUMIF(EPDListTable[Product classification],Class_P5,EPDListTable[EPD Points])</f>
        <v>0</v>
      </c>
      <c r="D11" s="114">
        <f>IF(C11&gt;4,4,C11)</f>
        <v>0</v>
      </c>
      <c r="E11" s="87"/>
      <c r="F11" s="87"/>
      <c r="G11" s="85"/>
      <c r="H11" s="85"/>
      <c r="I11" s="85"/>
      <c r="J11" s="54"/>
      <c r="K11" s="54"/>
      <c r="L11" s="54"/>
    </row>
    <row r="12" spans="1:20" s="101" customFormat="1" ht="21" customHeight="1" x14ac:dyDescent="0.25">
      <c r="B12" s="90" t="str">
        <f>Classification!B21</f>
        <v>P2</v>
      </c>
      <c r="C12" s="114">
        <f>SUMIF(EPDListTable[Product classification],Class_P2,EPDListTable[EPD Points])</f>
        <v>0</v>
      </c>
      <c r="D12" s="115">
        <f t="shared" ref="D12:D20" si="0">IF(C12&gt;4,4,C12)</f>
        <v>0</v>
      </c>
      <c r="E12" s="87"/>
      <c r="F12" s="87"/>
      <c r="G12" s="85"/>
      <c r="H12" s="85"/>
      <c r="I12" s="85"/>
      <c r="J12" s="54"/>
      <c r="K12" s="54"/>
      <c r="L12" s="54"/>
    </row>
    <row r="13" spans="1:20" s="101" customFormat="1" ht="21" customHeight="1" x14ac:dyDescent="0.25">
      <c r="B13" s="90" t="str">
        <f>Class_P4</f>
        <v>P4</v>
      </c>
      <c r="C13" s="114">
        <f>SUMIF(EPDListTable[Product classification],Class_P4,EPDListTable[EPD Points])</f>
        <v>0</v>
      </c>
      <c r="D13" s="115">
        <f t="shared" si="0"/>
        <v>0</v>
      </c>
      <c r="E13" s="87"/>
      <c r="F13" s="87"/>
      <c r="G13" s="85"/>
      <c r="H13" s="85"/>
      <c r="I13" s="85"/>
      <c r="J13" s="54"/>
      <c r="K13" s="54"/>
      <c r="L13" s="54"/>
    </row>
    <row r="14" spans="1:20" s="101" customFormat="1" ht="21" customHeight="1" x14ac:dyDescent="0.25">
      <c r="B14" s="90" t="s">
        <v>332</v>
      </c>
      <c r="C14" s="114">
        <f>SUM(Mat02_P1,Mat02_P3)</f>
        <v>0</v>
      </c>
      <c r="D14" s="115">
        <f t="shared" si="0"/>
        <v>0</v>
      </c>
      <c r="E14" s="87"/>
      <c r="F14" s="87"/>
      <c r="G14" s="85"/>
      <c r="H14" s="85"/>
      <c r="I14" s="85"/>
      <c r="J14" s="54"/>
      <c r="K14" s="54"/>
      <c r="L14" s="54"/>
    </row>
    <row r="15" spans="1:20" s="101" customFormat="1" ht="21" customHeight="1" x14ac:dyDescent="0.25">
      <c r="B15" s="90" t="str">
        <f>Class_P33</f>
        <v>P33</v>
      </c>
      <c r="C15" s="114">
        <f>SUMIF(EPDListTable[Product classification],Class_P33,EPDListTable[EPD Points])</f>
        <v>0</v>
      </c>
      <c r="D15" s="115">
        <f t="shared" si="0"/>
        <v>0</v>
      </c>
      <c r="E15" s="87"/>
      <c r="F15" s="87"/>
      <c r="G15" s="85"/>
      <c r="H15" s="85"/>
      <c r="I15" s="85"/>
      <c r="J15" s="54"/>
      <c r="K15" s="54"/>
      <c r="L15" s="54"/>
    </row>
    <row r="16" spans="1:20" s="101" customFormat="1" ht="21" customHeight="1" x14ac:dyDescent="0.25">
      <c r="B16" s="90" t="str">
        <f>Class_P232</f>
        <v>P232</v>
      </c>
      <c r="C16" s="114">
        <f>SUMIF(EPDListTable[Product classification],Class_P232,EPDListTable[EPD Points])</f>
        <v>0</v>
      </c>
      <c r="D16" s="115">
        <f t="shared" si="0"/>
        <v>0</v>
      </c>
      <c r="E16" s="87"/>
      <c r="F16" s="87"/>
      <c r="G16" s="85"/>
      <c r="H16" s="85"/>
      <c r="I16" s="85"/>
      <c r="J16" s="54"/>
      <c r="K16" s="54"/>
      <c r="L16" s="54"/>
    </row>
    <row r="17" spans="2:12" s="101" customFormat="1" ht="21" customHeight="1" x14ac:dyDescent="0.25">
      <c r="B17" s="90" t="str">
        <f>Class_P314</f>
        <v>P314</v>
      </c>
      <c r="C17" s="114">
        <f>SUMIF(EPDListTable[Product classification],Class_P314,EPDListTable[EPD Points])</f>
        <v>0</v>
      </c>
      <c r="D17" s="115">
        <f t="shared" si="0"/>
        <v>0</v>
      </c>
      <c r="E17" s="87"/>
      <c r="F17" s="87"/>
      <c r="G17" s="85"/>
      <c r="H17" s="85"/>
      <c r="I17" s="85"/>
      <c r="J17" s="54"/>
      <c r="K17" s="54"/>
      <c r="L17" s="54"/>
    </row>
    <row r="18" spans="2:12" s="101" customFormat="1" ht="21" customHeight="1" x14ac:dyDescent="0.25">
      <c r="B18" s="90" t="s">
        <v>333</v>
      </c>
      <c r="C18" s="114">
        <f>SUM(Mat02_P7,Mat02_P34)</f>
        <v>0</v>
      </c>
      <c r="D18" s="115">
        <f t="shared" si="0"/>
        <v>0</v>
      </c>
      <c r="E18" s="87"/>
      <c r="F18" s="87"/>
      <c r="G18" s="85"/>
      <c r="H18" s="85"/>
      <c r="I18" s="85"/>
      <c r="J18" s="54"/>
      <c r="K18" s="54"/>
      <c r="L18" s="54"/>
    </row>
    <row r="19" spans="2:12" s="101" customFormat="1" ht="21" customHeight="1" x14ac:dyDescent="0.25">
      <c r="B19" s="90" t="str">
        <f>Class_P6</f>
        <v>P6</v>
      </c>
      <c r="C19" s="114">
        <f>SUMIF(EPDListTable[Product classification],Class_P6,EPDListTable[EPD Points])</f>
        <v>0</v>
      </c>
      <c r="D19" s="115">
        <f t="shared" si="0"/>
        <v>0</v>
      </c>
      <c r="E19" s="87"/>
      <c r="F19" s="87"/>
      <c r="G19" s="85"/>
      <c r="H19" s="85"/>
      <c r="I19" s="85"/>
      <c r="J19" s="54"/>
      <c r="K19" s="54"/>
      <c r="L19" s="54"/>
    </row>
    <row r="20" spans="2:12" s="101" customFormat="1" ht="21" customHeight="1" thickBot="1" x14ac:dyDescent="0.3">
      <c r="B20" s="91" t="str">
        <f>Class_P8</f>
        <v>P8</v>
      </c>
      <c r="C20" s="116">
        <f>SUMIF(EPDListTable[Product classification],Class_P8,EPDListTable[EPD Points])</f>
        <v>0</v>
      </c>
      <c r="D20" s="116">
        <f t="shared" si="0"/>
        <v>0</v>
      </c>
      <c r="E20" s="87"/>
      <c r="F20" s="87"/>
      <c r="G20" s="85"/>
      <c r="H20" s="85"/>
      <c r="I20" s="85"/>
      <c r="J20" s="54"/>
      <c r="K20" s="54"/>
      <c r="L20" s="54"/>
    </row>
    <row r="21" spans="2:12" s="101" customFormat="1" ht="36.75" thickBot="1" x14ac:dyDescent="0.3">
      <c r="B21" s="87" t="s">
        <v>231</v>
      </c>
      <c r="C21" s="88"/>
      <c r="D21" s="117">
        <f>SUM(D11:D20)</f>
        <v>0</v>
      </c>
      <c r="E21" s="87"/>
      <c r="F21" s="105" t="s">
        <v>232</v>
      </c>
      <c r="G21" s="105"/>
      <c r="H21" s="106">
        <f>IF(D21&gt;=20,1,0)</f>
        <v>0</v>
      </c>
      <c r="I21" s="85"/>
      <c r="J21" s="54"/>
      <c r="K21" s="54"/>
      <c r="L21" s="54"/>
    </row>
    <row r="22" spans="2:12" s="101" customFormat="1" ht="36" customHeight="1" x14ac:dyDescent="0.25">
      <c r="B22" s="86"/>
      <c r="C22" s="86"/>
      <c r="D22" s="86"/>
      <c r="E22" s="87"/>
      <c r="F22" s="87"/>
      <c r="G22" s="85"/>
      <c r="H22" s="85"/>
      <c r="I22" s="85"/>
      <c r="J22" s="54"/>
      <c r="K22" s="54"/>
      <c r="L22" s="54"/>
    </row>
    <row r="23" spans="2:12" s="101" customFormat="1" ht="21" customHeight="1" thickBot="1" x14ac:dyDescent="0.3">
      <c r="B23" s="102" t="s">
        <v>229</v>
      </c>
      <c r="C23" s="103"/>
      <c r="D23" s="103"/>
      <c r="E23" s="104"/>
      <c r="F23" s="104"/>
      <c r="G23" s="104"/>
      <c r="H23" s="104"/>
      <c r="I23" s="104"/>
    </row>
    <row r="24" spans="2:12" s="101" customFormat="1" ht="21" customHeight="1" x14ac:dyDescent="0.25">
      <c r="B24" s="107"/>
      <c r="C24" s="108"/>
      <c r="D24" s="108"/>
      <c r="E24" s="96"/>
      <c r="F24" s="96"/>
      <c r="G24" s="96"/>
      <c r="H24" s="96"/>
      <c r="I24" s="96"/>
    </row>
    <row r="25" spans="2:12" s="101" customFormat="1" ht="21" customHeight="1" x14ac:dyDescent="0.25">
      <c r="B25" s="109" t="s">
        <v>233</v>
      </c>
      <c r="C25" s="108"/>
      <c r="D25" s="108"/>
      <c r="E25" s="96"/>
      <c r="F25" s="96"/>
      <c r="G25" s="96"/>
      <c r="H25" s="96"/>
      <c r="I25" s="96"/>
    </row>
    <row r="26" spans="2:12" ht="25.15" customHeight="1" x14ac:dyDescent="0.25"/>
    <row r="27" spans="2:12" ht="36" customHeight="1" x14ac:dyDescent="0.25">
      <c r="B27" s="410" t="s">
        <v>168</v>
      </c>
      <c r="C27" s="410"/>
      <c r="D27" s="410"/>
      <c r="E27" s="410"/>
    </row>
    <row r="28" spans="2:12" s="113" customFormat="1" ht="58.9" customHeight="1" x14ac:dyDescent="0.25">
      <c r="B28" s="110" t="s">
        <v>159</v>
      </c>
      <c r="C28" s="110" t="s">
        <v>160</v>
      </c>
      <c r="D28" s="110" t="s">
        <v>161</v>
      </c>
      <c r="E28" s="110" t="s">
        <v>162</v>
      </c>
      <c r="F28" s="111" t="s">
        <v>226</v>
      </c>
      <c r="G28" s="111" t="s">
        <v>235</v>
      </c>
      <c r="H28" s="111" t="s">
        <v>8</v>
      </c>
      <c r="I28" s="112" t="s">
        <v>225</v>
      </c>
    </row>
    <row r="29" spans="2:12" s="113" customFormat="1" x14ac:dyDescent="0.25">
      <c r="B29" s="81"/>
      <c r="C29" s="81"/>
      <c r="D29" s="81"/>
      <c r="E29" s="82"/>
      <c r="F29" s="81"/>
      <c r="G29" s="93"/>
      <c r="H29" s="81"/>
      <c r="I29" s="118" t="str">
        <f>IFERROR(IF(AND(EPDListTable[[#This Row],[Product ID]]&lt;&gt;"",EPDListTable[[#This Row],[Product name / description]]&lt;&gt;"",EPDListTable[[#This Row],[Product type (generic)]]&lt;&gt;"",EPDListTable[[#This Row],[Product classification]]&lt;&gt;"",G29="yes",EPDListTable[[#This Row],[EPD evidence (e.g. URL/link to certificate)]]&lt;&gt;""),VLOOKUP(EPDListTable[[#This Row],[EPD type (see manual)]],EPDPoints,2,FALSE),""),"")</f>
        <v/>
      </c>
    </row>
    <row r="30" spans="2:12" s="113" customFormat="1" x14ac:dyDescent="0.25">
      <c r="B30" s="81"/>
      <c r="C30" s="81"/>
      <c r="D30" s="81"/>
      <c r="E30" s="82"/>
      <c r="F30" s="81"/>
      <c r="G30" s="93"/>
      <c r="H30" s="81"/>
      <c r="I30" s="118" t="str">
        <f>IFERROR(IF(AND(EPDListTable[[#This Row],[Product ID]]&lt;&gt;"",EPDListTable[[#This Row],[Product name / description]]&lt;&gt;"",EPDListTable[[#This Row],[Product type (generic)]]&lt;&gt;"",EPDListTable[[#This Row],[Product classification]]&lt;&gt;"",G30="yes",EPDListTable[[#This Row],[EPD evidence (e.g. URL/link to certificate)]]&lt;&gt;""),VLOOKUP(EPDListTable[[#This Row],[EPD type (see manual)]],EPDPoints,2,FALSE),""),"")</f>
        <v/>
      </c>
    </row>
    <row r="31" spans="2:12" s="113" customFormat="1" x14ac:dyDescent="0.25">
      <c r="B31" s="81"/>
      <c r="C31" s="81"/>
      <c r="D31" s="81"/>
      <c r="E31" s="82"/>
      <c r="F31" s="81"/>
      <c r="G31" s="93"/>
      <c r="H31" s="81"/>
      <c r="I31" s="118" t="str">
        <f>IFERROR(IF(AND(EPDListTable[[#This Row],[Product ID]]&lt;&gt;"",EPDListTable[[#This Row],[Product name / description]]&lt;&gt;"",EPDListTable[[#This Row],[Product type (generic)]]&lt;&gt;"",EPDListTable[[#This Row],[Product classification]]&lt;&gt;"",G31="yes",EPDListTable[[#This Row],[EPD evidence (e.g. URL/link to certificate)]]&lt;&gt;""),VLOOKUP(EPDListTable[[#This Row],[EPD type (see manual)]],EPDPoints,2,FALSE),""),"")</f>
        <v/>
      </c>
    </row>
    <row r="32" spans="2:12" s="113" customFormat="1" x14ac:dyDescent="0.25">
      <c r="B32" s="81"/>
      <c r="C32" s="81"/>
      <c r="D32" s="81"/>
      <c r="E32" s="82"/>
      <c r="F32" s="81"/>
      <c r="G32" s="93"/>
      <c r="H32" s="81"/>
      <c r="I32" s="118" t="str">
        <f>IFERROR(IF(AND(EPDListTable[[#This Row],[Product ID]]&lt;&gt;"",EPDListTable[[#This Row],[Product name / description]]&lt;&gt;"",EPDListTable[[#This Row],[Product type (generic)]]&lt;&gt;"",EPDListTable[[#This Row],[Product classification]]&lt;&gt;"",G32="yes",EPDListTable[[#This Row],[EPD evidence (e.g. URL/link to certificate)]]&lt;&gt;""),VLOOKUP(EPDListTable[[#This Row],[EPD type (see manual)]],EPDPoints,2,FALSE),""),"")</f>
        <v/>
      </c>
    </row>
    <row r="33" spans="2:9" s="113" customFormat="1" x14ac:dyDescent="0.25">
      <c r="B33" s="81"/>
      <c r="C33" s="81"/>
      <c r="D33" s="81"/>
      <c r="E33" s="82"/>
      <c r="F33" s="81"/>
      <c r="G33" s="93"/>
      <c r="H33" s="81"/>
      <c r="I33" s="118" t="str">
        <f>IFERROR(IF(AND(EPDListTable[[#This Row],[Product ID]]&lt;&gt;"",EPDListTable[[#This Row],[Product name / description]]&lt;&gt;"",EPDListTable[[#This Row],[Product type (generic)]]&lt;&gt;"",EPDListTable[[#This Row],[Product classification]]&lt;&gt;"",G33="yes",EPDListTable[[#This Row],[EPD evidence (e.g. URL/link to certificate)]]&lt;&gt;""),VLOOKUP(EPDListTable[[#This Row],[EPD type (see manual)]],EPDPoints,2,FALSE),""),"")</f>
        <v/>
      </c>
    </row>
    <row r="34" spans="2:9" s="113" customFormat="1" x14ac:dyDescent="0.25">
      <c r="B34" s="81"/>
      <c r="C34" s="81"/>
      <c r="D34" s="81"/>
      <c r="E34" s="82"/>
      <c r="F34" s="81"/>
      <c r="G34" s="93"/>
      <c r="H34" s="81"/>
      <c r="I34" s="118" t="str">
        <f>IFERROR(IF(AND(EPDListTable[[#This Row],[Product ID]]&lt;&gt;"",EPDListTable[[#This Row],[Product name / description]]&lt;&gt;"",EPDListTable[[#This Row],[Product type (generic)]]&lt;&gt;"",EPDListTable[[#This Row],[Product classification]]&lt;&gt;"",G34="yes",EPDListTable[[#This Row],[EPD evidence (e.g. URL/link to certificate)]]&lt;&gt;""),VLOOKUP(EPDListTable[[#This Row],[EPD type (see manual)]],EPDPoints,2,FALSE),""),"")</f>
        <v/>
      </c>
    </row>
    <row r="35" spans="2:9" s="113" customFormat="1" x14ac:dyDescent="0.25">
      <c r="B35" s="81"/>
      <c r="C35" s="81"/>
      <c r="D35" s="81"/>
      <c r="E35" s="82"/>
      <c r="F35" s="81"/>
      <c r="G35" s="93"/>
      <c r="H35" s="81"/>
      <c r="I35" s="118" t="str">
        <f>IFERROR(IF(AND(EPDListTable[[#This Row],[Product ID]]&lt;&gt;"",EPDListTable[[#This Row],[Product name / description]]&lt;&gt;"",EPDListTable[[#This Row],[Product type (generic)]]&lt;&gt;"",EPDListTable[[#This Row],[Product classification]]&lt;&gt;"",G35="yes",EPDListTable[[#This Row],[EPD evidence (e.g. URL/link to certificate)]]&lt;&gt;""),VLOOKUP(EPDListTable[[#This Row],[EPD type (see manual)]],EPDPoints,2,FALSE),""),"")</f>
        <v/>
      </c>
    </row>
    <row r="36" spans="2:9" s="113" customFormat="1" x14ac:dyDescent="0.25">
      <c r="B36" s="81"/>
      <c r="C36" s="81"/>
      <c r="D36" s="81"/>
      <c r="E36" s="82"/>
      <c r="F36" s="81"/>
      <c r="G36" s="93"/>
      <c r="H36" s="81"/>
      <c r="I36" s="118" t="str">
        <f>IFERROR(IF(AND(EPDListTable[[#This Row],[Product ID]]&lt;&gt;"",EPDListTable[[#This Row],[Product name / description]]&lt;&gt;"",EPDListTable[[#This Row],[Product type (generic)]]&lt;&gt;"",EPDListTable[[#This Row],[Product classification]]&lt;&gt;"",G36="yes",EPDListTable[[#This Row],[EPD evidence (e.g. URL/link to certificate)]]&lt;&gt;""),VLOOKUP(EPDListTable[[#This Row],[EPD type (see manual)]],EPDPoints,2,FALSE),""),"")</f>
        <v/>
      </c>
    </row>
    <row r="37" spans="2:9" s="113" customFormat="1" x14ac:dyDescent="0.25">
      <c r="B37" s="81"/>
      <c r="C37" s="81"/>
      <c r="D37" s="81"/>
      <c r="E37" s="82"/>
      <c r="F37" s="81"/>
      <c r="G37" s="93"/>
      <c r="H37" s="81"/>
      <c r="I37" s="118" t="str">
        <f>IFERROR(IF(AND(EPDListTable[[#This Row],[Product ID]]&lt;&gt;"",EPDListTable[[#This Row],[Product name / description]]&lt;&gt;"",EPDListTable[[#This Row],[Product type (generic)]]&lt;&gt;"",EPDListTable[[#This Row],[Product classification]]&lt;&gt;"",G37="yes",EPDListTable[[#This Row],[EPD evidence (e.g. URL/link to certificate)]]&lt;&gt;""),VLOOKUP(EPDListTable[[#This Row],[EPD type (see manual)]],EPDPoints,2,FALSE),""),"")</f>
        <v/>
      </c>
    </row>
    <row r="38" spans="2:9" s="113" customFormat="1" x14ac:dyDescent="0.25">
      <c r="B38" s="81"/>
      <c r="C38" s="81"/>
      <c r="D38" s="81"/>
      <c r="E38" s="82"/>
      <c r="F38" s="81"/>
      <c r="G38" s="93"/>
      <c r="H38" s="81"/>
      <c r="I38" s="118" t="str">
        <f>IFERROR(IF(AND(EPDListTable[[#This Row],[Product ID]]&lt;&gt;"",EPDListTable[[#This Row],[Product name / description]]&lt;&gt;"",EPDListTable[[#This Row],[Product type (generic)]]&lt;&gt;"",EPDListTable[[#This Row],[Product classification]]&lt;&gt;"",G38="yes",EPDListTable[[#This Row],[EPD evidence (e.g. URL/link to certificate)]]&lt;&gt;""),VLOOKUP(EPDListTable[[#This Row],[EPD type (see manual)]],EPDPoints,2,FALSE),""),"")</f>
        <v/>
      </c>
    </row>
    <row r="39" spans="2:9" s="113" customFormat="1" x14ac:dyDescent="0.25">
      <c r="B39" s="81"/>
      <c r="C39" s="81"/>
      <c r="D39" s="81"/>
      <c r="E39" s="82"/>
      <c r="F39" s="81"/>
      <c r="G39" s="93"/>
      <c r="H39" s="81"/>
      <c r="I39" s="118" t="str">
        <f>IFERROR(IF(AND(EPDListTable[[#This Row],[Product ID]]&lt;&gt;"",EPDListTable[[#This Row],[Product name / description]]&lt;&gt;"",EPDListTable[[#This Row],[Product type (generic)]]&lt;&gt;"",EPDListTable[[#This Row],[Product classification]]&lt;&gt;"",G39="yes",EPDListTable[[#This Row],[EPD evidence (e.g. URL/link to certificate)]]&lt;&gt;""),VLOOKUP(EPDListTable[[#This Row],[EPD type (see manual)]],EPDPoints,2,FALSE),""),"")</f>
        <v/>
      </c>
    </row>
    <row r="40" spans="2:9" s="113" customFormat="1" x14ac:dyDescent="0.25">
      <c r="B40" s="81"/>
      <c r="C40" s="81"/>
      <c r="D40" s="81"/>
      <c r="E40" s="82"/>
      <c r="F40" s="81"/>
      <c r="G40" s="93"/>
      <c r="H40" s="81"/>
      <c r="I40" s="118" t="str">
        <f>IFERROR(IF(AND(EPDListTable[[#This Row],[Product ID]]&lt;&gt;"",EPDListTable[[#This Row],[Product name / description]]&lt;&gt;"",EPDListTable[[#This Row],[Product type (generic)]]&lt;&gt;"",EPDListTable[[#This Row],[Product classification]]&lt;&gt;"",G40="yes",EPDListTable[[#This Row],[EPD evidence (e.g. URL/link to certificate)]]&lt;&gt;""),VLOOKUP(EPDListTable[[#This Row],[EPD type (see manual)]],EPDPoints,2,FALSE),""),"")</f>
        <v/>
      </c>
    </row>
    <row r="41" spans="2:9" s="113" customFormat="1" x14ac:dyDescent="0.25">
      <c r="B41" s="81"/>
      <c r="C41" s="81"/>
      <c r="D41" s="81"/>
      <c r="E41" s="82"/>
      <c r="F41" s="81"/>
      <c r="G41" s="93"/>
      <c r="H41" s="81"/>
      <c r="I41" s="118" t="str">
        <f>IFERROR(IF(AND(EPDListTable[[#This Row],[Product ID]]&lt;&gt;"",EPDListTable[[#This Row],[Product name / description]]&lt;&gt;"",EPDListTable[[#This Row],[Product type (generic)]]&lt;&gt;"",EPDListTable[[#This Row],[Product classification]]&lt;&gt;"",G41="yes",EPDListTable[[#This Row],[EPD evidence (e.g. URL/link to certificate)]]&lt;&gt;""),VLOOKUP(EPDListTable[[#This Row],[EPD type (see manual)]],EPDPoints,2,FALSE),""),"")</f>
        <v/>
      </c>
    </row>
    <row r="42" spans="2:9" s="113" customFormat="1" x14ac:dyDescent="0.25">
      <c r="B42" s="81"/>
      <c r="C42" s="81"/>
      <c r="D42" s="81"/>
      <c r="E42" s="82"/>
      <c r="F42" s="81"/>
      <c r="G42" s="93"/>
      <c r="H42" s="81"/>
      <c r="I42" s="118" t="str">
        <f>IFERROR(IF(AND(EPDListTable[[#This Row],[Product ID]]&lt;&gt;"",EPDListTable[[#This Row],[Product name / description]]&lt;&gt;"",EPDListTable[[#This Row],[Product type (generic)]]&lt;&gt;"",EPDListTable[[#This Row],[Product classification]]&lt;&gt;"",G42="yes",EPDListTable[[#This Row],[EPD evidence (e.g. URL/link to certificate)]]&lt;&gt;""),VLOOKUP(EPDListTable[[#This Row],[EPD type (see manual)]],EPDPoints,2,FALSE),""),"")</f>
        <v/>
      </c>
    </row>
    <row r="43" spans="2:9" s="113" customFormat="1" x14ac:dyDescent="0.25">
      <c r="B43" s="81"/>
      <c r="C43" s="81"/>
      <c r="D43" s="81"/>
      <c r="E43" s="82"/>
      <c r="F43" s="81"/>
      <c r="G43" s="93"/>
      <c r="H43" s="81"/>
      <c r="I43" s="118" t="str">
        <f>IFERROR(IF(AND(EPDListTable[[#This Row],[Product ID]]&lt;&gt;"",EPDListTable[[#This Row],[Product name / description]]&lt;&gt;"",EPDListTable[[#This Row],[Product type (generic)]]&lt;&gt;"",EPDListTable[[#This Row],[Product classification]]&lt;&gt;"",G43="yes",EPDListTable[[#This Row],[EPD evidence (e.g. URL/link to certificate)]]&lt;&gt;""),VLOOKUP(EPDListTable[[#This Row],[EPD type (see manual)]],EPDPoints,2,FALSE),""),"")</f>
        <v/>
      </c>
    </row>
    <row r="44" spans="2:9" s="113" customFormat="1" x14ac:dyDescent="0.25">
      <c r="B44" s="81"/>
      <c r="C44" s="81"/>
      <c r="D44" s="81"/>
      <c r="E44" s="82"/>
      <c r="F44" s="81"/>
      <c r="G44" s="93"/>
      <c r="H44" s="81"/>
      <c r="I44" s="118" t="str">
        <f>IFERROR(IF(AND(EPDListTable[[#This Row],[Product ID]]&lt;&gt;"",EPDListTable[[#This Row],[Product name / description]]&lt;&gt;"",EPDListTable[[#This Row],[Product type (generic)]]&lt;&gt;"",EPDListTable[[#This Row],[Product classification]]&lt;&gt;"",G44="yes",EPDListTable[[#This Row],[EPD evidence (e.g. URL/link to certificate)]]&lt;&gt;""),VLOOKUP(EPDListTable[[#This Row],[EPD type (see manual)]],EPDPoints,2,FALSE),""),"")</f>
        <v/>
      </c>
    </row>
    <row r="45" spans="2:9" s="113" customFormat="1" x14ac:dyDescent="0.25">
      <c r="B45" s="81"/>
      <c r="C45" s="81"/>
      <c r="D45" s="81"/>
      <c r="E45" s="82"/>
      <c r="F45" s="81"/>
      <c r="G45" s="93"/>
      <c r="H45" s="81"/>
      <c r="I45" s="118" t="str">
        <f>IFERROR(IF(AND(EPDListTable[[#This Row],[Product ID]]&lt;&gt;"",EPDListTable[[#This Row],[Product name / description]]&lt;&gt;"",EPDListTable[[#This Row],[Product type (generic)]]&lt;&gt;"",EPDListTable[[#This Row],[Product classification]]&lt;&gt;"",G45="yes",EPDListTable[[#This Row],[EPD evidence (e.g. URL/link to certificate)]]&lt;&gt;""),VLOOKUP(EPDListTable[[#This Row],[EPD type (see manual)]],EPDPoints,2,FALSE),""),"")</f>
        <v/>
      </c>
    </row>
    <row r="46" spans="2:9" s="113" customFormat="1" x14ac:dyDescent="0.25">
      <c r="B46" s="81"/>
      <c r="C46" s="81"/>
      <c r="D46" s="81"/>
      <c r="E46" s="82"/>
      <c r="F46" s="81"/>
      <c r="G46" s="93"/>
      <c r="H46" s="81"/>
      <c r="I46" s="118" t="str">
        <f>IFERROR(IF(AND(EPDListTable[[#This Row],[Product ID]]&lt;&gt;"",EPDListTable[[#This Row],[Product name / description]]&lt;&gt;"",EPDListTable[[#This Row],[Product type (generic)]]&lt;&gt;"",EPDListTable[[#This Row],[Product classification]]&lt;&gt;"",G46="yes",EPDListTable[[#This Row],[EPD evidence (e.g. URL/link to certificate)]]&lt;&gt;""),VLOOKUP(EPDListTable[[#This Row],[EPD type (see manual)]],EPDPoints,2,FALSE),""),"")</f>
        <v/>
      </c>
    </row>
    <row r="47" spans="2:9" s="113" customFormat="1" x14ac:dyDescent="0.25">
      <c r="B47" s="81"/>
      <c r="C47" s="81"/>
      <c r="D47" s="81"/>
      <c r="E47" s="82"/>
      <c r="F47" s="81"/>
      <c r="G47" s="93"/>
      <c r="H47" s="81"/>
      <c r="I47" s="118" t="str">
        <f>IFERROR(IF(AND(EPDListTable[[#This Row],[Product ID]]&lt;&gt;"",EPDListTable[[#This Row],[Product name / description]]&lt;&gt;"",EPDListTable[[#This Row],[Product type (generic)]]&lt;&gt;"",EPDListTable[[#This Row],[Product classification]]&lt;&gt;"",G47="yes",EPDListTable[[#This Row],[EPD evidence (e.g. URL/link to certificate)]]&lt;&gt;""),VLOOKUP(EPDListTable[[#This Row],[EPD type (see manual)]],EPDPoints,2,FALSE),""),"")</f>
        <v/>
      </c>
    </row>
    <row r="48" spans="2:9" s="113" customFormat="1" x14ac:dyDescent="0.25">
      <c r="B48" s="81"/>
      <c r="C48" s="81"/>
      <c r="D48" s="81"/>
      <c r="E48" s="82"/>
      <c r="F48" s="81"/>
      <c r="G48" s="93"/>
      <c r="H48" s="81"/>
      <c r="I48" s="118" t="str">
        <f>IFERROR(IF(AND(EPDListTable[[#This Row],[Product ID]]&lt;&gt;"",EPDListTable[[#This Row],[Product name / description]]&lt;&gt;"",EPDListTable[[#This Row],[Product type (generic)]]&lt;&gt;"",EPDListTable[[#This Row],[Product classification]]&lt;&gt;"",G48="yes",EPDListTable[[#This Row],[EPD evidence (e.g. URL/link to certificate)]]&lt;&gt;""),VLOOKUP(EPDListTable[[#This Row],[EPD type (see manual)]],EPDPoints,2,FALSE),""),"")</f>
        <v/>
      </c>
    </row>
    <row r="49" spans="2:9" s="113" customFormat="1" x14ac:dyDescent="0.25">
      <c r="B49" s="81"/>
      <c r="C49" s="81"/>
      <c r="D49" s="81"/>
      <c r="E49" s="82"/>
      <c r="F49" s="81"/>
      <c r="G49" s="93"/>
      <c r="H49" s="81"/>
      <c r="I49" s="118" t="str">
        <f>IFERROR(IF(AND(EPDListTable[[#This Row],[Product ID]]&lt;&gt;"",EPDListTable[[#This Row],[Product name / description]]&lt;&gt;"",EPDListTable[[#This Row],[Product type (generic)]]&lt;&gt;"",EPDListTable[[#This Row],[Product classification]]&lt;&gt;"",G49="yes",EPDListTable[[#This Row],[EPD evidence (e.g. URL/link to certificate)]]&lt;&gt;""),VLOOKUP(EPDListTable[[#This Row],[EPD type (see manual)]],EPDPoints,2,FALSE),""),"")</f>
        <v/>
      </c>
    </row>
    <row r="50" spans="2:9" s="113" customFormat="1" x14ac:dyDescent="0.25">
      <c r="B50" s="81"/>
      <c r="C50" s="81"/>
      <c r="D50" s="81"/>
      <c r="E50" s="82"/>
      <c r="F50" s="81"/>
      <c r="G50" s="93"/>
      <c r="H50" s="81"/>
      <c r="I50" s="118" t="str">
        <f>IFERROR(IF(AND(EPDListTable[[#This Row],[Product ID]]&lt;&gt;"",EPDListTable[[#This Row],[Product name / description]]&lt;&gt;"",EPDListTable[[#This Row],[Product type (generic)]]&lt;&gt;"",EPDListTable[[#This Row],[Product classification]]&lt;&gt;"",G50="yes",EPDListTable[[#This Row],[EPD evidence (e.g. URL/link to certificate)]]&lt;&gt;""),VLOOKUP(EPDListTable[[#This Row],[EPD type (see manual)]],EPDPoints,2,FALSE),""),"")</f>
        <v/>
      </c>
    </row>
    <row r="51" spans="2:9" s="113" customFormat="1" x14ac:dyDescent="0.25">
      <c r="B51" s="81"/>
      <c r="C51" s="81"/>
      <c r="D51" s="81"/>
      <c r="E51" s="82"/>
      <c r="F51" s="81"/>
      <c r="G51" s="93"/>
      <c r="H51" s="81"/>
      <c r="I51" s="118" t="str">
        <f>IFERROR(IF(AND(EPDListTable[[#This Row],[Product ID]]&lt;&gt;"",EPDListTable[[#This Row],[Product name / description]]&lt;&gt;"",EPDListTable[[#This Row],[Product type (generic)]]&lt;&gt;"",EPDListTable[[#This Row],[Product classification]]&lt;&gt;"",G51="yes",EPDListTable[[#This Row],[EPD evidence (e.g. URL/link to certificate)]]&lt;&gt;""),VLOOKUP(EPDListTable[[#This Row],[EPD type (see manual)]],EPDPoints,2,FALSE),""),"")</f>
        <v/>
      </c>
    </row>
    <row r="52" spans="2:9" s="113" customFormat="1" x14ac:dyDescent="0.25">
      <c r="B52" s="81"/>
      <c r="C52" s="81"/>
      <c r="D52" s="81"/>
      <c r="E52" s="82"/>
      <c r="F52" s="81"/>
      <c r="G52" s="93"/>
      <c r="H52" s="81"/>
      <c r="I52" s="118" t="str">
        <f>IFERROR(IF(AND(EPDListTable[[#This Row],[Product ID]]&lt;&gt;"",EPDListTable[[#This Row],[Product name / description]]&lt;&gt;"",EPDListTable[[#This Row],[Product type (generic)]]&lt;&gt;"",EPDListTable[[#This Row],[Product classification]]&lt;&gt;"",G52="yes",EPDListTable[[#This Row],[EPD evidence (e.g. URL/link to certificate)]]&lt;&gt;""),VLOOKUP(EPDListTable[[#This Row],[EPD type (see manual)]],EPDPoints,2,FALSE),""),"")</f>
        <v/>
      </c>
    </row>
    <row r="53" spans="2:9" s="113" customFormat="1" x14ac:dyDescent="0.25">
      <c r="B53" s="81"/>
      <c r="C53" s="81"/>
      <c r="D53" s="81"/>
      <c r="E53" s="82"/>
      <c r="F53" s="81"/>
      <c r="G53" s="93"/>
      <c r="H53" s="81"/>
      <c r="I53" s="118" t="str">
        <f>IFERROR(IF(AND(EPDListTable[[#This Row],[Product ID]]&lt;&gt;"",EPDListTable[[#This Row],[Product name / description]]&lt;&gt;"",EPDListTable[[#This Row],[Product type (generic)]]&lt;&gt;"",EPDListTable[[#This Row],[Product classification]]&lt;&gt;"",G53="yes",EPDListTable[[#This Row],[EPD evidence (e.g. URL/link to certificate)]]&lt;&gt;""),VLOOKUP(EPDListTable[[#This Row],[EPD type (see manual)]],EPDPoints,2,FALSE),""),"")</f>
        <v/>
      </c>
    </row>
    <row r="54" spans="2:9" s="113" customFormat="1" x14ac:dyDescent="0.25">
      <c r="B54" s="81"/>
      <c r="C54" s="81"/>
      <c r="D54" s="81"/>
      <c r="E54" s="82"/>
      <c r="F54" s="81"/>
      <c r="G54" s="93"/>
      <c r="H54" s="81"/>
      <c r="I54" s="118" t="str">
        <f>IFERROR(IF(AND(EPDListTable[[#This Row],[Product ID]]&lt;&gt;"",EPDListTable[[#This Row],[Product name / description]]&lt;&gt;"",EPDListTable[[#This Row],[Product type (generic)]]&lt;&gt;"",EPDListTable[[#This Row],[Product classification]]&lt;&gt;"",G54="yes",EPDListTable[[#This Row],[EPD evidence (e.g. URL/link to certificate)]]&lt;&gt;""),VLOOKUP(EPDListTable[[#This Row],[EPD type (see manual)]],EPDPoints,2,FALSE),""),"")</f>
        <v/>
      </c>
    </row>
    <row r="55" spans="2:9" s="113" customFormat="1" x14ac:dyDescent="0.25">
      <c r="B55" s="81"/>
      <c r="C55" s="81"/>
      <c r="D55" s="81"/>
      <c r="E55" s="82"/>
      <c r="F55" s="81"/>
      <c r="G55" s="93"/>
      <c r="H55" s="81"/>
      <c r="I55" s="118" t="str">
        <f>IFERROR(IF(AND(EPDListTable[[#This Row],[Product ID]]&lt;&gt;"",EPDListTable[[#This Row],[Product name / description]]&lt;&gt;"",EPDListTable[[#This Row],[Product type (generic)]]&lt;&gt;"",EPDListTable[[#This Row],[Product classification]]&lt;&gt;"",G55="yes",EPDListTable[[#This Row],[EPD evidence (e.g. URL/link to certificate)]]&lt;&gt;""),VLOOKUP(EPDListTable[[#This Row],[EPD type (see manual)]],EPDPoints,2,FALSE),""),"")</f>
        <v/>
      </c>
    </row>
    <row r="56" spans="2:9" s="113" customFormat="1" x14ac:dyDescent="0.25">
      <c r="B56" s="81"/>
      <c r="C56" s="81"/>
      <c r="D56" s="81"/>
      <c r="E56" s="82"/>
      <c r="F56" s="81"/>
      <c r="G56" s="93"/>
      <c r="H56" s="81"/>
      <c r="I56" s="118" t="str">
        <f>IFERROR(IF(AND(EPDListTable[[#This Row],[Product ID]]&lt;&gt;"",EPDListTable[[#This Row],[Product name / description]]&lt;&gt;"",EPDListTable[[#This Row],[Product type (generic)]]&lt;&gt;"",EPDListTable[[#This Row],[Product classification]]&lt;&gt;"",G56="yes",EPDListTable[[#This Row],[EPD evidence (e.g. URL/link to certificate)]]&lt;&gt;""),VLOOKUP(EPDListTable[[#This Row],[EPD type (see manual)]],EPDPoints,2,FALSE),""),"")</f>
        <v/>
      </c>
    </row>
    <row r="57" spans="2:9" s="113" customFormat="1" x14ac:dyDescent="0.25">
      <c r="B57" s="81"/>
      <c r="C57" s="81"/>
      <c r="D57" s="81"/>
      <c r="E57" s="82"/>
      <c r="F57" s="81"/>
      <c r="G57" s="93"/>
      <c r="H57" s="81"/>
      <c r="I57" s="118" t="str">
        <f>IFERROR(IF(AND(EPDListTable[[#This Row],[Product ID]]&lt;&gt;"",EPDListTable[[#This Row],[Product name / description]]&lt;&gt;"",EPDListTable[[#This Row],[Product type (generic)]]&lt;&gt;"",EPDListTable[[#This Row],[Product classification]]&lt;&gt;"",G57="yes",EPDListTable[[#This Row],[EPD evidence (e.g. URL/link to certificate)]]&lt;&gt;""),VLOOKUP(EPDListTable[[#This Row],[EPD type (see manual)]],EPDPoints,2,FALSE),""),"")</f>
        <v/>
      </c>
    </row>
    <row r="58" spans="2:9" s="113" customFormat="1" x14ac:dyDescent="0.25">
      <c r="B58" s="81"/>
      <c r="C58" s="81"/>
      <c r="D58" s="81"/>
      <c r="E58" s="82"/>
      <c r="F58" s="81"/>
      <c r="G58" s="93"/>
      <c r="H58" s="81"/>
      <c r="I58" s="118" t="str">
        <f>IFERROR(IF(AND(EPDListTable[[#This Row],[Product ID]]&lt;&gt;"",EPDListTable[[#This Row],[Product name / description]]&lt;&gt;"",EPDListTable[[#This Row],[Product type (generic)]]&lt;&gt;"",EPDListTable[[#This Row],[Product classification]]&lt;&gt;"",G58="yes",EPDListTable[[#This Row],[EPD evidence (e.g. URL/link to certificate)]]&lt;&gt;""),VLOOKUP(EPDListTable[[#This Row],[EPD type (see manual)]],EPDPoints,2,FALSE),""),"")</f>
        <v/>
      </c>
    </row>
    <row r="59" spans="2:9" s="113" customFormat="1" x14ac:dyDescent="0.25">
      <c r="B59" s="81"/>
      <c r="C59" s="81"/>
      <c r="D59" s="81"/>
      <c r="E59" s="82"/>
      <c r="F59" s="81"/>
      <c r="G59" s="93"/>
      <c r="H59" s="81"/>
      <c r="I59" s="118" t="str">
        <f>IFERROR(IF(AND(EPDListTable[[#This Row],[Product ID]]&lt;&gt;"",EPDListTable[[#This Row],[Product name / description]]&lt;&gt;"",EPDListTable[[#This Row],[Product type (generic)]]&lt;&gt;"",EPDListTable[[#This Row],[Product classification]]&lt;&gt;"",G59="yes",EPDListTable[[#This Row],[EPD evidence (e.g. URL/link to certificate)]]&lt;&gt;""),VLOOKUP(EPDListTable[[#This Row],[EPD type (see manual)]],EPDPoints,2,FALSE),""),"")</f>
        <v/>
      </c>
    </row>
    <row r="60" spans="2:9" s="113" customFormat="1" x14ac:dyDescent="0.25">
      <c r="B60" s="81"/>
      <c r="C60" s="81"/>
      <c r="D60" s="81"/>
      <c r="E60" s="82"/>
      <c r="F60" s="81"/>
      <c r="G60" s="93"/>
      <c r="H60" s="81"/>
      <c r="I60" s="118" t="str">
        <f>IFERROR(IF(AND(EPDListTable[[#This Row],[Product ID]]&lt;&gt;"",EPDListTable[[#This Row],[Product name / description]]&lt;&gt;"",EPDListTable[[#This Row],[Product type (generic)]]&lt;&gt;"",EPDListTable[[#This Row],[Product classification]]&lt;&gt;"",G60="yes",EPDListTable[[#This Row],[EPD evidence (e.g. URL/link to certificate)]]&lt;&gt;""),VLOOKUP(EPDListTable[[#This Row],[EPD type (see manual)]],EPDPoints,2,FALSE),""),"")</f>
        <v/>
      </c>
    </row>
    <row r="61" spans="2:9" s="113" customFormat="1" x14ac:dyDescent="0.25">
      <c r="B61" s="81"/>
      <c r="C61" s="81"/>
      <c r="D61" s="81"/>
      <c r="E61" s="82"/>
      <c r="F61" s="81"/>
      <c r="G61" s="93"/>
      <c r="H61" s="81"/>
      <c r="I61" s="118" t="str">
        <f>IFERROR(IF(AND(EPDListTable[[#This Row],[Product ID]]&lt;&gt;"",EPDListTable[[#This Row],[Product name / description]]&lt;&gt;"",EPDListTable[[#This Row],[Product type (generic)]]&lt;&gt;"",EPDListTable[[#This Row],[Product classification]]&lt;&gt;"",G61="yes",EPDListTable[[#This Row],[EPD evidence (e.g. URL/link to certificate)]]&lt;&gt;""),VLOOKUP(EPDListTable[[#This Row],[EPD type (see manual)]],EPDPoints,2,FALSE),""),"")</f>
        <v/>
      </c>
    </row>
    <row r="62" spans="2:9" s="113" customFormat="1" x14ac:dyDescent="0.25">
      <c r="B62" s="81"/>
      <c r="C62" s="81"/>
      <c r="D62" s="81"/>
      <c r="E62" s="82"/>
      <c r="F62" s="81"/>
      <c r="G62" s="93"/>
      <c r="H62" s="81"/>
      <c r="I62" s="118" t="str">
        <f>IFERROR(IF(AND(EPDListTable[[#This Row],[Product ID]]&lt;&gt;"",EPDListTable[[#This Row],[Product name / description]]&lt;&gt;"",EPDListTable[[#This Row],[Product type (generic)]]&lt;&gt;"",EPDListTable[[#This Row],[Product classification]]&lt;&gt;"",G62="yes",EPDListTable[[#This Row],[EPD evidence (e.g. URL/link to certificate)]]&lt;&gt;""),VLOOKUP(EPDListTable[[#This Row],[EPD type (see manual)]],EPDPoints,2,FALSE),""),"")</f>
        <v/>
      </c>
    </row>
    <row r="63" spans="2:9" s="113" customFormat="1" x14ac:dyDescent="0.25">
      <c r="B63" s="81"/>
      <c r="C63" s="81"/>
      <c r="D63" s="81"/>
      <c r="E63" s="82"/>
      <c r="F63" s="81"/>
      <c r="G63" s="93"/>
      <c r="H63" s="81"/>
      <c r="I63" s="118" t="str">
        <f>IFERROR(IF(AND(EPDListTable[[#This Row],[Product ID]]&lt;&gt;"",EPDListTable[[#This Row],[Product name / description]]&lt;&gt;"",EPDListTable[[#This Row],[Product type (generic)]]&lt;&gt;"",EPDListTable[[#This Row],[Product classification]]&lt;&gt;"",G63="yes",EPDListTable[[#This Row],[EPD evidence (e.g. URL/link to certificate)]]&lt;&gt;""),VLOOKUP(EPDListTable[[#This Row],[EPD type (see manual)]],EPDPoints,2,FALSE),""),"")</f>
        <v/>
      </c>
    </row>
    <row r="64" spans="2:9" s="113" customFormat="1" x14ac:dyDescent="0.25">
      <c r="B64" s="81"/>
      <c r="C64" s="81"/>
      <c r="D64" s="81"/>
      <c r="E64" s="82"/>
      <c r="F64" s="81"/>
      <c r="G64" s="93"/>
      <c r="H64" s="81"/>
      <c r="I64" s="118" t="str">
        <f>IFERROR(IF(AND(EPDListTable[[#This Row],[Product ID]]&lt;&gt;"",EPDListTable[[#This Row],[Product name / description]]&lt;&gt;"",EPDListTable[[#This Row],[Product type (generic)]]&lt;&gt;"",EPDListTable[[#This Row],[Product classification]]&lt;&gt;"",G64="yes",EPDListTable[[#This Row],[EPD evidence (e.g. URL/link to certificate)]]&lt;&gt;""),VLOOKUP(EPDListTable[[#This Row],[EPD type (see manual)]],EPDPoints,2,FALSE),""),"")</f>
        <v/>
      </c>
    </row>
    <row r="65" spans="2:9" s="113" customFormat="1" x14ac:dyDescent="0.25">
      <c r="B65" s="81"/>
      <c r="C65" s="81"/>
      <c r="D65" s="81"/>
      <c r="E65" s="82"/>
      <c r="F65" s="81"/>
      <c r="G65" s="93"/>
      <c r="H65" s="81"/>
      <c r="I65" s="118" t="str">
        <f>IFERROR(IF(AND(EPDListTable[[#This Row],[Product ID]]&lt;&gt;"",EPDListTable[[#This Row],[Product name / description]]&lt;&gt;"",EPDListTable[[#This Row],[Product type (generic)]]&lt;&gt;"",EPDListTable[[#This Row],[Product classification]]&lt;&gt;"",G65="yes",EPDListTable[[#This Row],[EPD evidence (e.g. URL/link to certificate)]]&lt;&gt;""),VLOOKUP(EPDListTable[[#This Row],[EPD type (see manual)]],EPDPoints,2,FALSE),""),"")</f>
        <v/>
      </c>
    </row>
    <row r="66" spans="2:9" s="113" customFormat="1" x14ac:dyDescent="0.25">
      <c r="B66" s="81"/>
      <c r="C66" s="81"/>
      <c r="D66" s="81"/>
      <c r="E66" s="82"/>
      <c r="F66" s="81"/>
      <c r="G66" s="93"/>
      <c r="H66" s="81"/>
      <c r="I66" s="118" t="str">
        <f>IFERROR(IF(AND(EPDListTable[[#This Row],[Product ID]]&lt;&gt;"",EPDListTable[[#This Row],[Product name / description]]&lt;&gt;"",EPDListTable[[#This Row],[Product type (generic)]]&lt;&gt;"",EPDListTable[[#This Row],[Product classification]]&lt;&gt;"",G66="yes",EPDListTable[[#This Row],[EPD evidence (e.g. URL/link to certificate)]]&lt;&gt;""),VLOOKUP(EPDListTable[[#This Row],[EPD type (see manual)]],EPDPoints,2,FALSE),""),"")</f>
        <v/>
      </c>
    </row>
    <row r="67" spans="2:9" s="113" customFormat="1" x14ac:dyDescent="0.25">
      <c r="B67" s="81"/>
      <c r="C67" s="81"/>
      <c r="D67" s="81"/>
      <c r="E67" s="82"/>
      <c r="F67" s="81"/>
      <c r="G67" s="93"/>
      <c r="H67" s="81"/>
      <c r="I67" s="118" t="str">
        <f>IFERROR(IF(AND(EPDListTable[[#This Row],[Product ID]]&lt;&gt;"",EPDListTable[[#This Row],[Product name / description]]&lt;&gt;"",EPDListTable[[#This Row],[Product type (generic)]]&lt;&gt;"",EPDListTable[[#This Row],[Product classification]]&lt;&gt;"",G67="yes",EPDListTable[[#This Row],[EPD evidence (e.g. URL/link to certificate)]]&lt;&gt;""),VLOOKUP(EPDListTable[[#This Row],[EPD type (see manual)]],EPDPoints,2,FALSE),""),"")</f>
        <v/>
      </c>
    </row>
    <row r="68" spans="2:9" s="113" customFormat="1" x14ac:dyDescent="0.25">
      <c r="B68" s="81"/>
      <c r="C68" s="81"/>
      <c r="D68" s="81"/>
      <c r="E68" s="82"/>
      <c r="F68" s="81"/>
      <c r="G68" s="93"/>
      <c r="H68" s="81"/>
      <c r="I68" s="118" t="str">
        <f>IFERROR(IF(AND(EPDListTable[[#This Row],[Product ID]]&lt;&gt;"",EPDListTable[[#This Row],[Product name / description]]&lt;&gt;"",EPDListTable[[#This Row],[Product type (generic)]]&lt;&gt;"",EPDListTable[[#This Row],[Product classification]]&lt;&gt;"",G68="yes",EPDListTable[[#This Row],[EPD evidence (e.g. URL/link to certificate)]]&lt;&gt;""),VLOOKUP(EPDListTable[[#This Row],[EPD type (see manual)]],EPDPoints,2,FALSE),""),"")</f>
        <v/>
      </c>
    </row>
    <row r="69" spans="2:9" s="113" customFormat="1" x14ac:dyDescent="0.25">
      <c r="B69" s="81"/>
      <c r="C69" s="81"/>
      <c r="D69" s="81"/>
      <c r="E69" s="82"/>
      <c r="F69" s="81"/>
      <c r="G69" s="93"/>
      <c r="H69" s="81"/>
      <c r="I69" s="118" t="str">
        <f>IFERROR(IF(AND(EPDListTable[[#This Row],[Product ID]]&lt;&gt;"",EPDListTable[[#This Row],[Product name / description]]&lt;&gt;"",EPDListTable[[#This Row],[Product type (generic)]]&lt;&gt;"",EPDListTable[[#This Row],[Product classification]]&lt;&gt;"",G69="yes",EPDListTable[[#This Row],[EPD evidence (e.g. URL/link to certificate)]]&lt;&gt;""),VLOOKUP(EPDListTable[[#This Row],[EPD type (see manual)]],EPDPoints,2,FALSE),""),"")</f>
        <v/>
      </c>
    </row>
    <row r="70" spans="2:9" s="113" customFormat="1" x14ac:dyDescent="0.25">
      <c r="B70" s="81"/>
      <c r="C70" s="81"/>
      <c r="D70" s="81"/>
      <c r="E70" s="82"/>
      <c r="F70" s="81"/>
      <c r="G70" s="93"/>
      <c r="H70" s="81"/>
      <c r="I70" s="118" t="str">
        <f>IFERROR(IF(AND(EPDListTable[[#This Row],[Product ID]]&lt;&gt;"",EPDListTable[[#This Row],[Product name / description]]&lt;&gt;"",EPDListTable[[#This Row],[Product type (generic)]]&lt;&gt;"",EPDListTable[[#This Row],[Product classification]]&lt;&gt;"",G70="yes",EPDListTable[[#This Row],[EPD evidence (e.g. URL/link to certificate)]]&lt;&gt;""),VLOOKUP(EPDListTable[[#This Row],[EPD type (see manual)]],EPDPoints,2,FALSE),""),"")</f>
        <v/>
      </c>
    </row>
    <row r="71" spans="2:9" s="113" customFormat="1" x14ac:dyDescent="0.25">
      <c r="B71" s="81"/>
      <c r="C71" s="81"/>
      <c r="D71" s="81"/>
      <c r="E71" s="82"/>
      <c r="F71" s="81"/>
      <c r="G71" s="93"/>
      <c r="H71" s="81"/>
      <c r="I71" s="118" t="str">
        <f>IFERROR(IF(AND(EPDListTable[[#This Row],[Product ID]]&lt;&gt;"",EPDListTable[[#This Row],[Product name / description]]&lt;&gt;"",EPDListTable[[#This Row],[Product type (generic)]]&lt;&gt;"",EPDListTable[[#This Row],[Product classification]]&lt;&gt;"",G71="yes",EPDListTable[[#This Row],[EPD evidence (e.g. URL/link to certificate)]]&lt;&gt;""),VLOOKUP(EPDListTable[[#This Row],[EPD type (see manual)]],EPDPoints,2,FALSE),""),"")</f>
        <v/>
      </c>
    </row>
    <row r="72" spans="2:9" s="113" customFormat="1" x14ac:dyDescent="0.25">
      <c r="B72" s="81"/>
      <c r="C72" s="81"/>
      <c r="D72" s="81"/>
      <c r="E72" s="82"/>
      <c r="F72" s="81"/>
      <c r="G72" s="93"/>
      <c r="H72" s="81"/>
      <c r="I72" s="118" t="str">
        <f>IFERROR(IF(AND(EPDListTable[[#This Row],[Product ID]]&lt;&gt;"",EPDListTable[[#This Row],[Product name / description]]&lt;&gt;"",EPDListTable[[#This Row],[Product type (generic)]]&lt;&gt;"",EPDListTable[[#This Row],[Product classification]]&lt;&gt;"",G72="yes",EPDListTable[[#This Row],[EPD evidence (e.g. URL/link to certificate)]]&lt;&gt;""),VLOOKUP(EPDListTable[[#This Row],[EPD type (see manual)]],EPDPoints,2,FALSE),""),"")</f>
        <v/>
      </c>
    </row>
    <row r="73" spans="2:9" s="113" customFormat="1" x14ac:dyDescent="0.25">
      <c r="B73" s="81"/>
      <c r="C73" s="81"/>
      <c r="D73" s="81"/>
      <c r="E73" s="82"/>
      <c r="F73" s="81"/>
      <c r="G73" s="93"/>
      <c r="H73" s="81"/>
      <c r="I73" s="118" t="str">
        <f>IFERROR(IF(AND(EPDListTable[[#This Row],[Product ID]]&lt;&gt;"",EPDListTable[[#This Row],[Product name / description]]&lt;&gt;"",EPDListTable[[#This Row],[Product type (generic)]]&lt;&gt;"",EPDListTable[[#This Row],[Product classification]]&lt;&gt;"",G73="yes",EPDListTable[[#This Row],[EPD evidence (e.g. URL/link to certificate)]]&lt;&gt;""),VLOOKUP(EPDListTable[[#This Row],[EPD type (see manual)]],EPDPoints,2,FALSE),""),"")</f>
        <v/>
      </c>
    </row>
    <row r="74" spans="2:9" s="113" customFormat="1" x14ac:dyDescent="0.25">
      <c r="B74" s="81"/>
      <c r="C74" s="81"/>
      <c r="D74" s="81"/>
      <c r="E74" s="82"/>
      <c r="F74" s="81"/>
      <c r="G74" s="93"/>
      <c r="H74" s="81"/>
      <c r="I74" s="118" t="str">
        <f>IFERROR(IF(AND(EPDListTable[[#This Row],[Product ID]]&lt;&gt;"",EPDListTable[[#This Row],[Product name / description]]&lt;&gt;"",EPDListTable[[#This Row],[Product type (generic)]]&lt;&gt;"",EPDListTable[[#This Row],[Product classification]]&lt;&gt;"",G74="yes",EPDListTable[[#This Row],[EPD evidence (e.g. URL/link to certificate)]]&lt;&gt;""),VLOOKUP(EPDListTable[[#This Row],[EPD type (see manual)]],EPDPoints,2,FALSE),""),"")</f>
        <v/>
      </c>
    </row>
    <row r="75" spans="2:9" s="113" customFormat="1" x14ac:dyDescent="0.25">
      <c r="B75" s="81"/>
      <c r="C75" s="81"/>
      <c r="D75" s="81"/>
      <c r="E75" s="82"/>
      <c r="F75" s="81"/>
      <c r="G75" s="93"/>
      <c r="H75" s="81"/>
      <c r="I75" s="118" t="str">
        <f>IFERROR(IF(AND(EPDListTable[[#This Row],[Product ID]]&lt;&gt;"",EPDListTable[[#This Row],[Product name / description]]&lt;&gt;"",EPDListTable[[#This Row],[Product type (generic)]]&lt;&gt;"",EPDListTable[[#This Row],[Product classification]]&lt;&gt;"",G75="yes",EPDListTable[[#This Row],[EPD evidence (e.g. URL/link to certificate)]]&lt;&gt;""),VLOOKUP(EPDListTable[[#This Row],[EPD type (see manual)]],EPDPoints,2,FALSE),""),"")</f>
        <v/>
      </c>
    </row>
    <row r="76" spans="2:9" s="113" customFormat="1" x14ac:dyDescent="0.25">
      <c r="B76" s="81"/>
      <c r="C76" s="81"/>
      <c r="D76" s="81"/>
      <c r="E76" s="82"/>
      <c r="F76" s="81"/>
      <c r="G76" s="93"/>
      <c r="H76" s="81"/>
      <c r="I76" s="118" t="str">
        <f>IFERROR(IF(AND(EPDListTable[[#This Row],[Product ID]]&lt;&gt;"",EPDListTable[[#This Row],[Product name / description]]&lt;&gt;"",EPDListTable[[#This Row],[Product type (generic)]]&lt;&gt;"",EPDListTable[[#This Row],[Product classification]]&lt;&gt;"",G76="yes",EPDListTable[[#This Row],[EPD evidence (e.g. URL/link to certificate)]]&lt;&gt;""),VLOOKUP(EPDListTable[[#This Row],[EPD type (see manual)]],EPDPoints,2,FALSE),""),"")</f>
        <v/>
      </c>
    </row>
    <row r="77" spans="2:9" s="113" customFormat="1" x14ac:dyDescent="0.25">
      <c r="B77" s="81"/>
      <c r="C77" s="81"/>
      <c r="D77" s="81"/>
      <c r="E77" s="82"/>
      <c r="F77" s="81"/>
      <c r="G77" s="93"/>
      <c r="H77" s="81"/>
      <c r="I77" s="118" t="str">
        <f>IFERROR(IF(AND(EPDListTable[[#This Row],[Product ID]]&lt;&gt;"",EPDListTable[[#This Row],[Product name / description]]&lt;&gt;"",EPDListTable[[#This Row],[Product type (generic)]]&lt;&gt;"",EPDListTable[[#This Row],[Product classification]]&lt;&gt;"",G77="yes",EPDListTable[[#This Row],[EPD evidence (e.g. URL/link to certificate)]]&lt;&gt;""),VLOOKUP(EPDListTable[[#This Row],[EPD type (see manual)]],EPDPoints,2,FALSE),""),"")</f>
        <v/>
      </c>
    </row>
    <row r="78" spans="2:9" s="113" customFormat="1" x14ac:dyDescent="0.25">
      <c r="B78" s="81"/>
      <c r="C78" s="81"/>
      <c r="D78" s="81"/>
      <c r="E78" s="82"/>
      <c r="F78" s="81"/>
      <c r="G78" s="93"/>
      <c r="H78" s="81"/>
      <c r="I78" s="118" t="str">
        <f>IFERROR(IF(AND(EPDListTable[[#This Row],[Product ID]]&lt;&gt;"",EPDListTable[[#This Row],[Product name / description]]&lt;&gt;"",EPDListTable[[#This Row],[Product type (generic)]]&lt;&gt;"",EPDListTable[[#This Row],[Product classification]]&lt;&gt;"",G78="yes",EPDListTable[[#This Row],[EPD evidence (e.g. URL/link to certificate)]]&lt;&gt;""),VLOOKUP(EPDListTable[[#This Row],[EPD type (see manual)]],EPDPoints,2,FALSE),""),"")</f>
        <v/>
      </c>
    </row>
    <row r="79" spans="2:9" s="113" customFormat="1" x14ac:dyDescent="0.25">
      <c r="B79" s="81"/>
      <c r="C79" s="81"/>
      <c r="D79" s="81"/>
      <c r="E79" s="82"/>
      <c r="F79" s="81"/>
      <c r="G79" s="93"/>
      <c r="H79" s="81"/>
      <c r="I79" s="118" t="str">
        <f>IFERROR(IF(AND(EPDListTable[[#This Row],[Product ID]]&lt;&gt;"",EPDListTable[[#This Row],[Product name / description]]&lt;&gt;"",EPDListTable[[#This Row],[Product type (generic)]]&lt;&gt;"",EPDListTable[[#This Row],[Product classification]]&lt;&gt;"",G79="yes",EPDListTable[[#This Row],[EPD evidence (e.g. URL/link to certificate)]]&lt;&gt;""),VLOOKUP(EPDListTable[[#This Row],[EPD type (see manual)]],EPDPoints,2,FALSE),""),"")</f>
        <v/>
      </c>
    </row>
    <row r="80" spans="2:9" s="113" customFormat="1" x14ac:dyDescent="0.25">
      <c r="B80" s="81"/>
      <c r="C80" s="81"/>
      <c r="D80" s="81"/>
      <c r="E80" s="82"/>
      <c r="F80" s="81"/>
      <c r="G80" s="93"/>
      <c r="H80" s="81"/>
      <c r="I80" s="118" t="str">
        <f>IFERROR(IF(AND(EPDListTable[[#This Row],[Product ID]]&lt;&gt;"",EPDListTable[[#This Row],[Product name / description]]&lt;&gt;"",EPDListTable[[#This Row],[Product type (generic)]]&lt;&gt;"",EPDListTable[[#This Row],[Product classification]]&lt;&gt;"",G80="yes",EPDListTable[[#This Row],[EPD evidence (e.g. URL/link to certificate)]]&lt;&gt;""),VLOOKUP(EPDListTable[[#This Row],[EPD type (see manual)]],EPDPoints,2,FALSE),""),"")</f>
        <v/>
      </c>
    </row>
    <row r="81" spans="2:9" s="113" customFormat="1" x14ac:dyDescent="0.25">
      <c r="B81" s="81"/>
      <c r="C81" s="81"/>
      <c r="D81" s="81"/>
      <c r="E81" s="82"/>
      <c r="F81" s="81"/>
      <c r="G81" s="93"/>
      <c r="H81" s="81"/>
      <c r="I81" s="118" t="str">
        <f>IFERROR(IF(AND(EPDListTable[[#This Row],[Product ID]]&lt;&gt;"",EPDListTable[[#This Row],[Product name / description]]&lt;&gt;"",EPDListTable[[#This Row],[Product type (generic)]]&lt;&gt;"",EPDListTable[[#This Row],[Product classification]]&lt;&gt;"",G81="yes",EPDListTable[[#This Row],[EPD evidence (e.g. URL/link to certificate)]]&lt;&gt;""),VLOOKUP(EPDListTable[[#This Row],[EPD type (see manual)]],EPDPoints,2,FALSE),""),"")</f>
        <v/>
      </c>
    </row>
    <row r="82" spans="2:9" s="113" customFormat="1" x14ac:dyDescent="0.25">
      <c r="B82" s="81"/>
      <c r="C82" s="81"/>
      <c r="D82" s="81"/>
      <c r="E82" s="82"/>
      <c r="F82" s="81"/>
      <c r="G82" s="93"/>
      <c r="H82" s="81"/>
      <c r="I82" s="118" t="str">
        <f>IFERROR(IF(AND(EPDListTable[[#This Row],[Product ID]]&lt;&gt;"",EPDListTable[[#This Row],[Product name / description]]&lt;&gt;"",EPDListTable[[#This Row],[Product type (generic)]]&lt;&gt;"",EPDListTable[[#This Row],[Product classification]]&lt;&gt;"",G82="yes",EPDListTable[[#This Row],[EPD evidence (e.g. URL/link to certificate)]]&lt;&gt;""),VLOOKUP(EPDListTable[[#This Row],[EPD type (see manual)]],EPDPoints,2,FALSE),""),"")</f>
        <v/>
      </c>
    </row>
    <row r="83" spans="2:9" s="113" customFormat="1" x14ac:dyDescent="0.25">
      <c r="B83" s="81"/>
      <c r="C83" s="81"/>
      <c r="D83" s="81"/>
      <c r="E83" s="82"/>
      <c r="F83" s="81"/>
      <c r="G83" s="93"/>
      <c r="H83" s="81"/>
      <c r="I83" s="118" t="str">
        <f>IFERROR(IF(AND(EPDListTable[[#This Row],[Product ID]]&lt;&gt;"",EPDListTable[[#This Row],[Product name / description]]&lt;&gt;"",EPDListTable[[#This Row],[Product type (generic)]]&lt;&gt;"",EPDListTable[[#This Row],[Product classification]]&lt;&gt;"",G83="yes",EPDListTable[[#This Row],[EPD evidence (e.g. URL/link to certificate)]]&lt;&gt;""),VLOOKUP(EPDListTable[[#This Row],[EPD type (see manual)]],EPDPoints,2,FALSE),""),"")</f>
        <v/>
      </c>
    </row>
    <row r="84" spans="2:9" s="113" customFormat="1" x14ac:dyDescent="0.25">
      <c r="B84" s="81"/>
      <c r="C84" s="81"/>
      <c r="D84" s="81"/>
      <c r="E84" s="82"/>
      <c r="F84" s="81"/>
      <c r="G84" s="93"/>
      <c r="H84" s="81"/>
      <c r="I84" s="118" t="str">
        <f>IFERROR(IF(AND(EPDListTable[[#This Row],[Product ID]]&lt;&gt;"",EPDListTable[[#This Row],[Product name / description]]&lt;&gt;"",EPDListTable[[#This Row],[Product type (generic)]]&lt;&gt;"",EPDListTable[[#This Row],[Product classification]]&lt;&gt;"",G84="yes",EPDListTable[[#This Row],[EPD evidence (e.g. URL/link to certificate)]]&lt;&gt;""),VLOOKUP(EPDListTable[[#This Row],[EPD type (see manual)]],EPDPoints,2,FALSE),""),"")</f>
        <v/>
      </c>
    </row>
    <row r="85" spans="2:9" s="113" customFormat="1" x14ac:dyDescent="0.25">
      <c r="B85" s="81"/>
      <c r="C85" s="81"/>
      <c r="D85" s="81"/>
      <c r="E85" s="82"/>
      <c r="F85" s="81"/>
      <c r="G85" s="93"/>
      <c r="H85" s="81"/>
      <c r="I85" s="118" t="str">
        <f>IFERROR(IF(AND(EPDListTable[[#This Row],[Product ID]]&lt;&gt;"",EPDListTable[[#This Row],[Product name / description]]&lt;&gt;"",EPDListTable[[#This Row],[Product type (generic)]]&lt;&gt;"",EPDListTable[[#This Row],[Product classification]]&lt;&gt;"",G85="yes",EPDListTable[[#This Row],[EPD evidence (e.g. URL/link to certificate)]]&lt;&gt;""),VLOOKUP(EPDListTable[[#This Row],[EPD type (see manual)]],EPDPoints,2,FALSE),""),"")</f>
        <v/>
      </c>
    </row>
    <row r="86" spans="2:9" s="113" customFormat="1" x14ac:dyDescent="0.25">
      <c r="B86" s="81"/>
      <c r="C86" s="81"/>
      <c r="D86" s="81"/>
      <c r="E86" s="82"/>
      <c r="F86" s="81"/>
      <c r="G86" s="93"/>
      <c r="H86" s="81"/>
      <c r="I86" s="118" t="str">
        <f>IFERROR(IF(AND(EPDListTable[[#This Row],[Product ID]]&lt;&gt;"",EPDListTable[[#This Row],[Product name / description]]&lt;&gt;"",EPDListTable[[#This Row],[Product type (generic)]]&lt;&gt;"",EPDListTable[[#This Row],[Product classification]]&lt;&gt;"",G86="yes",EPDListTable[[#This Row],[EPD evidence (e.g. URL/link to certificate)]]&lt;&gt;""),VLOOKUP(EPDListTable[[#This Row],[EPD type (see manual)]],EPDPoints,2,FALSE),""),"")</f>
        <v/>
      </c>
    </row>
    <row r="87" spans="2:9" s="113" customFormat="1" x14ac:dyDescent="0.25">
      <c r="B87" s="81"/>
      <c r="C87" s="81"/>
      <c r="D87" s="81"/>
      <c r="E87" s="82"/>
      <c r="F87" s="81"/>
      <c r="G87" s="93"/>
      <c r="H87" s="81"/>
      <c r="I87" s="118" t="str">
        <f>IFERROR(IF(AND(EPDListTable[[#This Row],[Product ID]]&lt;&gt;"",EPDListTable[[#This Row],[Product name / description]]&lt;&gt;"",EPDListTable[[#This Row],[Product type (generic)]]&lt;&gt;"",EPDListTable[[#This Row],[Product classification]]&lt;&gt;"",G87="yes",EPDListTable[[#This Row],[EPD evidence (e.g. URL/link to certificate)]]&lt;&gt;""),VLOOKUP(EPDListTable[[#This Row],[EPD type (see manual)]],EPDPoints,2,FALSE),""),"")</f>
        <v/>
      </c>
    </row>
    <row r="88" spans="2:9" s="113" customFormat="1" x14ac:dyDescent="0.25">
      <c r="B88" s="81"/>
      <c r="C88" s="81"/>
      <c r="D88" s="81"/>
      <c r="E88" s="82"/>
      <c r="F88" s="81"/>
      <c r="G88" s="93"/>
      <c r="H88" s="81"/>
      <c r="I88" s="118" t="str">
        <f>IFERROR(IF(AND(EPDListTable[[#This Row],[Product ID]]&lt;&gt;"",EPDListTable[[#This Row],[Product name / description]]&lt;&gt;"",EPDListTable[[#This Row],[Product type (generic)]]&lt;&gt;"",EPDListTable[[#This Row],[Product classification]]&lt;&gt;"",G88="yes",EPDListTable[[#This Row],[EPD evidence (e.g. URL/link to certificate)]]&lt;&gt;""),VLOOKUP(EPDListTable[[#This Row],[EPD type (see manual)]],EPDPoints,2,FALSE),""),"")</f>
        <v/>
      </c>
    </row>
    <row r="89" spans="2:9" s="113" customFormat="1" x14ac:dyDescent="0.25">
      <c r="B89" s="81"/>
      <c r="C89" s="81"/>
      <c r="D89" s="81"/>
      <c r="E89" s="82"/>
      <c r="F89" s="81"/>
      <c r="G89" s="81"/>
      <c r="H89" s="81"/>
      <c r="I89" s="118" t="str">
        <f>IFERROR(IF(AND(EPDListTable[[#This Row],[Product ID]]&lt;&gt;"",EPDListTable[[#This Row],[Product name / description]]&lt;&gt;"",EPDListTable[[#This Row],[Product type (generic)]]&lt;&gt;"",EPDListTable[[#This Row],[Product classification]]&lt;&gt;"",G89="yes",EPDListTable[[#This Row],[EPD evidence (e.g. URL/link to certificate)]]&lt;&gt;""),VLOOKUP(EPDListTable[[#This Row],[EPD type (see manual)]],EPDPoints,2,FALSE),""),"")</f>
        <v/>
      </c>
    </row>
    <row r="90" spans="2:9" s="113" customFormat="1" x14ac:dyDescent="0.25">
      <c r="B90" s="81"/>
      <c r="C90" s="81"/>
      <c r="D90" s="81"/>
      <c r="E90" s="82"/>
      <c r="F90" s="81"/>
      <c r="G90" s="81"/>
      <c r="H90" s="81"/>
      <c r="I90" s="118" t="str">
        <f>IFERROR(IF(AND(EPDListTable[[#This Row],[Product ID]]&lt;&gt;"",EPDListTable[[#This Row],[Product name / description]]&lt;&gt;"",EPDListTable[[#This Row],[Product type (generic)]]&lt;&gt;"",EPDListTable[[#This Row],[Product classification]]&lt;&gt;"",G90="yes",EPDListTable[[#This Row],[EPD evidence (e.g. URL/link to certificate)]]&lt;&gt;""),VLOOKUP(EPDListTable[[#This Row],[EPD type (see manual)]],EPDPoints,2,FALSE),""),"")</f>
        <v/>
      </c>
    </row>
    <row r="91" spans="2:9" s="113" customFormat="1" x14ac:dyDescent="0.25">
      <c r="B91" s="81"/>
      <c r="C91" s="81"/>
      <c r="D91" s="81"/>
      <c r="E91" s="82"/>
      <c r="F91" s="81"/>
      <c r="G91" s="81"/>
      <c r="H91" s="81"/>
      <c r="I91" s="118" t="str">
        <f>IFERROR(IF(AND(EPDListTable[[#This Row],[Product ID]]&lt;&gt;"",EPDListTable[[#This Row],[Product name / description]]&lt;&gt;"",EPDListTable[[#This Row],[Product type (generic)]]&lt;&gt;"",EPDListTable[[#This Row],[Product classification]]&lt;&gt;"",G91="yes",EPDListTable[[#This Row],[EPD evidence (e.g. URL/link to certificate)]]&lt;&gt;""),VLOOKUP(EPDListTable[[#This Row],[EPD type (see manual)]],EPDPoints,2,FALSE),""),"")</f>
        <v/>
      </c>
    </row>
    <row r="92" spans="2:9" s="113" customFormat="1" x14ac:dyDescent="0.25">
      <c r="B92" s="81"/>
      <c r="C92" s="81"/>
      <c r="D92" s="81"/>
      <c r="E92" s="82"/>
      <c r="F92" s="81"/>
      <c r="G92" s="81"/>
      <c r="H92" s="81"/>
      <c r="I92" s="118" t="str">
        <f>IFERROR(IF(AND(EPDListTable[[#This Row],[Product ID]]&lt;&gt;"",EPDListTable[[#This Row],[Product name / description]]&lt;&gt;"",EPDListTable[[#This Row],[Product type (generic)]]&lt;&gt;"",EPDListTable[[#This Row],[Product classification]]&lt;&gt;"",G92="yes",EPDListTable[[#This Row],[EPD evidence (e.g. URL/link to certificate)]]&lt;&gt;""),VLOOKUP(EPDListTable[[#This Row],[EPD type (see manual)]],EPDPoints,2,FALSE),""),"")</f>
        <v/>
      </c>
    </row>
    <row r="93" spans="2:9" s="113" customFormat="1" x14ac:dyDescent="0.25">
      <c r="B93" s="81"/>
      <c r="C93" s="81"/>
      <c r="D93" s="81"/>
      <c r="E93" s="82"/>
      <c r="F93" s="81"/>
      <c r="G93" s="81"/>
      <c r="H93" s="81"/>
      <c r="I93" s="118" t="str">
        <f>IFERROR(IF(AND(EPDListTable[[#This Row],[Product ID]]&lt;&gt;"",EPDListTable[[#This Row],[Product name / description]]&lt;&gt;"",EPDListTable[[#This Row],[Product type (generic)]]&lt;&gt;"",EPDListTable[[#This Row],[Product classification]]&lt;&gt;"",G93="yes",EPDListTable[[#This Row],[EPD evidence (e.g. URL/link to certificate)]]&lt;&gt;""),VLOOKUP(EPDListTable[[#This Row],[EPD type (see manual)]],EPDPoints,2,FALSE),""),"")</f>
        <v/>
      </c>
    </row>
    <row r="94" spans="2:9" s="113" customFormat="1" x14ac:dyDescent="0.25">
      <c r="B94" s="81"/>
      <c r="C94" s="81"/>
      <c r="D94" s="81"/>
      <c r="E94" s="82"/>
      <c r="F94" s="81"/>
      <c r="G94" s="81"/>
      <c r="H94" s="81"/>
      <c r="I94" s="118" t="str">
        <f>IFERROR(IF(AND(EPDListTable[[#This Row],[Product ID]]&lt;&gt;"",EPDListTable[[#This Row],[Product name / description]]&lt;&gt;"",EPDListTable[[#This Row],[Product type (generic)]]&lt;&gt;"",EPDListTable[[#This Row],[Product classification]]&lt;&gt;"",G94="yes",EPDListTable[[#This Row],[EPD evidence (e.g. URL/link to certificate)]]&lt;&gt;""),VLOOKUP(EPDListTable[[#This Row],[EPD type (see manual)]],EPDPoints,2,FALSE),""),"")</f>
        <v/>
      </c>
    </row>
    <row r="95" spans="2:9" s="113" customFormat="1" x14ac:dyDescent="0.25">
      <c r="B95" s="81"/>
      <c r="C95" s="81"/>
      <c r="D95" s="81"/>
      <c r="E95" s="82"/>
      <c r="F95" s="81"/>
      <c r="G95" s="81"/>
      <c r="H95" s="81"/>
      <c r="I95" s="118" t="str">
        <f>IFERROR(IF(AND(EPDListTable[[#This Row],[Product ID]]&lt;&gt;"",EPDListTable[[#This Row],[Product name / description]]&lt;&gt;"",EPDListTable[[#This Row],[Product type (generic)]]&lt;&gt;"",EPDListTable[[#This Row],[Product classification]]&lt;&gt;"",G95="yes",EPDListTable[[#This Row],[EPD evidence (e.g. URL/link to certificate)]]&lt;&gt;""),VLOOKUP(EPDListTable[[#This Row],[EPD type (see manual)]],EPDPoints,2,FALSE),""),"")</f>
        <v/>
      </c>
    </row>
    <row r="96" spans="2:9" s="113" customFormat="1" x14ac:dyDescent="0.25">
      <c r="B96" s="81"/>
      <c r="C96" s="81"/>
      <c r="D96" s="81"/>
      <c r="E96" s="82"/>
      <c r="F96" s="81"/>
      <c r="G96" s="81"/>
      <c r="H96" s="81"/>
      <c r="I96" s="118" t="str">
        <f>IFERROR(IF(AND(EPDListTable[[#This Row],[Product ID]]&lt;&gt;"",EPDListTable[[#This Row],[Product name / description]]&lt;&gt;"",EPDListTable[[#This Row],[Product type (generic)]]&lt;&gt;"",EPDListTable[[#This Row],[Product classification]]&lt;&gt;"",G96="yes",EPDListTable[[#This Row],[EPD evidence (e.g. URL/link to certificate)]]&lt;&gt;""),VLOOKUP(EPDListTable[[#This Row],[EPD type (see manual)]],EPDPoints,2,FALSE),""),"")</f>
        <v/>
      </c>
    </row>
    <row r="97" spans="2:9" s="113" customFormat="1" x14ac:dyDescent="0.25">
      <c r="B97" s="81"/>
      <c r="C97" s="81"/>
      <c r="D97" s="81"/>
      <c r="E97" s="82"/>
      <c r="F97" s="81"/>
      <c r="G97" s="81"/>
      <c r="H97" s="81"/>
      <c r="I97" s="118" t="str">
        <f>IFERROR(IF(AND(EPDListTable[[#This Row],[Product ID]]&lt;&gt;"",EPDListTable[[#This Row],[Product name / description]]&lt;&gt;"",EPDListTable[[#This Row],[Product type (generic)]]&lt;&gt;"",EPDListTable[[#This Row],[Product classification]]&lt;&gt;"",G97="yes",EPDListTable[[#This Row],[EPD evidence (e.g. URL/link to certificate)]]&lt;&gt;""),VLOOKUP(EPDListTable[[#This Row],[EPD type (see manual)]],EPDPoints,2,FALSE),""),"")</f>
        <v/>
      </c>
    </row>
    <row r="98" spans="2:9" s="113" customFormat="1" x14ac:dyDescent="0.25">
      <c r="B98" s="81"/>
      <c r="C98" s="81"/>
      <c r="D98" s="81"/>
      <c r="E98" s="82"/>
      <c r="F98" s="81"/>
      <c r="G98" s="81"/>
      <c r="H98" s="81"/>
      <c r="I98" s="118" t="str">
        <f>IFERROR(IF(AND(EPDListTable[[#This Row],[Product ID]]&lt;&gt;"",EPDListTable[[#This Row],[Product name / description]]&lt;&gt;"",EPDListTable[[#This Row],[Product type (generic)]]&lt;&gt;"",EPDListTable[[#This Row],[Product classification]]&lt;&gt;"",G98="yes",EPDListTable[[#This Row],[EPD evidence (e.g. URL/link to certificate)]]&lt;&gt;""),VLOOKUP(EPDListTable[[#This Row],[EPD type (see manual)]],EPDPoints,2,FALSE),""),"")</f>
        <v/>
      </c>
    </row>
    <row r="99" spans="2:9" s="113" customFormat="1" x14ac:dyDescent="0.25">
      <c r="B99" s="81"/>
      <c r="C99" s="81"/>
      <c r="D99" s="81"/>
      <c r="E99" s="82"/>
      <c r="F99" s="81"/>
      <c r="G99" s="81"/>
      <c r="H99" s="81"/>
      <c r="I99" s="118" t="str">
        <f>IFERROR(IF(AND(EPDListTable[[#This Row],[Product ID]]&lt;&gt;"",EPDListTable[[#This Row],[Product name / description]]&lt;&gt;"",EPDListTable[[#This Row],[Product type (generic)]]&lt;&gt;"",EPDListTable[[#This Row],[Product classification]]&lt;&gt;"",G99="yes",EPDListTable[[#This Row],[EPD evidence (e.g. URL/link to certificate)]]&lt;&gt;""),VLOOKUP(EPDListTable[[#This Row],[EPD type (see manual)]],EPDPoints,2,FALSE),""),"")</f>
        <v/>
      </c>
    </row>
    <row r="100" spans="2:9" s="113" customFormat="1" x14ac:dyDescent="0.25">
      <c r="B100" s="81"/>
      <c r="C100" s="81"/>
      <c r="D100" s="81"/>
      <c r="E100" s="82"/>
      <c r="F100" s="81"/>
      <c r="G100" s="81"/>
      <c r="H100" s="81"/>
      <c r="I100" s="118" t="str">
        <f>IFERROR(IF(AND(EPDListTable[[#This Row],[Product ID]]&lt;&gt;"",EPDListTable[[#This Row],[Product name / description]]&lt;&gt;"",EPDListTable[[#This Row],[Product type (generic)]]&lt;&gt;"",EPDListTable[[#This Row],[Product classification]]&lt;&gt;"",G100="yes",EPDListTable[[#This Row],[EPD evidence (e.g. URL/link to certificate)]]&lt;&gt;""),VLOOKUP(EPDListTable[[#This Row],[EPD type (see manual)]],EPDPoints,2,FALSE),""),"")</f>
        <v/>
      </c>
    </row>
    <row r="101" spans="2:9" s="113" customFormat="1" x14ac:dyDescent="0.25">
      <c r="B101" s="81"/>
      <c r="C101" s="81"/>
      <c r="D101" s="81"/>
      <c r="E101" s="82"/>
      <c r="F101" s="81"/>
      <c r="G101" s="81"/>
      <c r="H101" s="81"/>
      <c r="I101" s="118" t="str">
        <f>IFERROR(IF(AND(EPDListTable[[#This Row],[Product ID]]&lt;&gt;"",EPDListTable[[#This Row],[Product name / description]]&lt;&gt;"",EPDListTable[[#This Row],[Product type (generic)]]&lt;&gt;"",EPDListTable[[#This Row],[Product classification]]&lt;&gt;"",G101="yes",EPDListTable[[#This Row],[EPD evidence (e.g. URL/link to certificate)]]&lt;&gt;""),VLOOKUP(EPDListTable[[#This Row],[EPD type (see manual)]],EPDPoints,2,FALSE),""),"")</f>
        <v/>
      </c>
    </row>
    <row r="102" spans="2:9" s="113" customFormat="1" x14ac:dyDescent="0.25">
      <c r="B102" s="81"/>
      <c r="C102" s="81"/>
      <c r="D102" s="81"/>
      <c r="E102" s="82"/>
      <c r="F102" s="81"/>
      <c r="G102" s="81"/>
      <c r="H102" s="81"/>
      <c r="I102" s="118" t="str">
        <f>IFERROR(IF(AND(EPDListTable[[#This Row],[Product ID]]&lt;&gt;"",EPDListTable[[#This Row],[Product name / description]]&lt;&gt;"",EPDListTable[[#This Row],[Product type (generic)]]&lt;&gt;"",EPDListTable[[#This Row],[Product classification]]&lt;&gt;"",G102="yes",EPDListTable[[#This Row],[EPD evidence (e.g. URL/link to certificate)]]&lt;&gt;""),VLOOKUP(EPDListTable[[#This Row],[EPD type (see manual)]],EPDPoints,2,FALSE),""),"")</f>
        <v/>
      </c>
    </row>
    <row r="103" spans="2:9" s="113" customFormat="1" x14ac:dyDescent="0.25">
      <c r="B103" s="81"/>
      <c r="C103" s="81"/>
      <c r="D103" s="81"/>
      <c r="E103" s="82"/>
      <c r="F103" s="81"/>
      <c r="G103" s="81"/>
      <c r="H103" s="81"/>
      <c r="I103" s="118" t="str">
        <f>IFERROR(IF(AND(EPDListTable[[#This Row],[Product ID]]&lt;&gt;"",EPDListTable[[#This Row],[Product name / description]]&lt;&gt;"",EPDListTable[[#This Row],[Product type (generic)]]&lt;&gt;"",EPDListTable[[#This Row],[Product classification]]&lt;&gt;"",G103="yes",EPDListTable[[#This Row],[EPD evidence (e.g. URL/link to certificate)]]&lt;&gt;""),VLOOKUP(EPDListTable[[#This Row],[EPD type (see manual)]],EPDPoints,2,FALSE),""),"")</f>
        <v/>
      </c>
    </row>
    <row r="104" spans="2:9" s="113" customFormat="1" x14ac:dyDescent="0.25">
      <c r="B104" s="81"/>
      <c r="C104" s="81"/>
      <c r="D104" s="81"/>
      <c r="E104" s="82"/>
      <c r="F104" s="81"/>
      <c r="G104" s="81"/>
      <c r="H104" s="81"/>
      <c r="I104" s="118" t="str">
        <f>IFERROR(IF(AND(EPDListTable[[#This Row],[Product ID]]&lt;&gt;"",EPDListTable[[#This Row],[Product name / description]]&lt;&gt;"",EPDListTable[[#This Row],[Product type (generic)]]&lt;&gt;"",EPDListTable[[#This Row],[Product classification]]&lt;&gt;"",G104="yes",EPDListTable[[#This Row],[EPD evidence (e.g. URL/link to certificate)]]&lt;&gt;""),VLOOKUP(EPDListTable[[#This Row],[EPD type (see manual)]],EPDPoints,2,FALSE),""),"")</f>
        <v/>
      </c>
    </row>
    <row r="105" spans="2:9" s="113" customFormat="1" x14ac:dyDescent="0.25">
      <c r="B105" s="81"/>
      <c r="C105" s="81"/>
      <c r="D105" s="81"/>
      <c r="E105" s="82"/>
      <c r="F105" s="81"/>
      <c r="G105" s="81"/>
      <c r="H105" s="81"/>
      <c r="I105" s="118" t="str">
        <f>IFERROR(IF(AND(EPDListTable[[#This Row],[Product ID]]&lt;&gt;"",EPDListTable[[#This Row],[Product name / description]]&lt;&gt;"",EPDListTable[[#This Row],[Product type (generic)]]&lt;&gt;"",EPDListTable[[#This Row],[Product classification]]&lt;&gt;"",G105="yes",EPDListTable[[#This Row],[EPD evidence (e.g. URL/link to certificate)]]&lt;&gt;""),VLOOKUP(EPDListTable[[#This Row],[EPD type (see manual)]],EPDPoints,2,FALSE),""),"")</f>
        <v/>
      </c>
    </row>
    <row r="106" spans="2:9" s="113" customFormat="1" x14ac:dyDescent="0.25">
      <c r="B106" s="81"/>
      <c r="C106" s="81"/>
      <c r="D106" s="81"/>
      <c r="E106" s="82"/>
      <c r="F106" s="81"/>
      <c r="G106" s="81"/>
      <c r="H106" s="81"/>
      <c r="I106" s="118" t="str">
        <f>IFERROR(IF(AND(EPDListTable[[#This Row],[Product ID]]&lt;&gt;"",EPDListTable[[#This Row],[Product name / description]]&lt;&gt;"",EPDListTable[[#This Row],[Product type (generic)]]&lt;&gt;"",EPDListTable[[#This Row],[Product classification]]&lt;&gt;"",G106="yes",EPDListTable[[#This Row],[EPD evidence (e.g. URL/link to certificate)]]&lt;&gt;""),VLOOKUP(EPDListTable[[#This Row],[EPD type (see manual)]],EPDPoints,2,FALSE),""),"")</f>
        <v/>
      </c>
    </row>
    <row r="107" spans="2:9" s="113" customFormat="1" x14ac:dyDescent="0.25">
      <c r="B107" s="81"/>
      <c r="C107" s="81"/>
      <c r="D107" s="81"/>
      <c r="E107" s="82"/>
      <c r="F107" s="81"/>
      <c r="G107" s="81"/>
      <c r="H107" s="81"/>
      <c r="I107" s="118" t="str">
        <f>IFERROR(IF(AND(EPDListTable[[#This Row],[Product ID]]&lt;&gt;"",EPDListTable[[#This Row],[Product name / description]]&lt;&gt;"",EPDListTable[[#This Row],[Product type (generic)]]&lt;&gt;"",EPDListTable[[#This Row],[Product classification]]&lt;&gt;"",G107="yes",EPDListTable[[#This Row],[EPD evidence (e.g. URL/link to certificate)]]&lt;&gt;""),VLOOKUP(EPDListTable[[#This Row],[EPD type (see manual)]],EPDPoints,2,FALSE),""),"")</f>
        <v/>
      </c>
    </row>
    <row r="108" spans="2:9" s="113" customFormat="1" x14ac:dyDescent="0.25">
      <c r="B108" s="81"/>
      <c r="C108" s="81"/>
      <c r="D108" s="81"/>
      <c r="E108" s="82"/>
      <c r="F108" s="81"/>
      <c r="G108" s="81"/>
      <c r="H108" s="81"/>
      <c r="I108" s="118" t="str">
        <f>IFERROR(IF(AND(EPDListTable[[#This Row],[Product ID]]&lt;&gt;"",EPDListTable[[#This Row],[Product name / description]]&lt;&gt;"",EPDListTable[[#This Row],[Product type (generic)]]&lt;&gt;"",EPDListTable[[#This Row],[Product classification]]&lt;&gt;"",G108="yes",EPDListTable[[#This Row],[EPD evidence (e.g. URL/link to certificate)]]&lt;&gt;""),VLOOKUP(EPDListTable[[#This Row],[EPD type (see manual)]],EPDPoints,2,FALSE),""),"")</f>
        <v/>
      </c>
    </row>
    <row r="109" spans="2:9" s="113" customFormat="1" x14ac:dyDescent="0.25">
      <c r="B109" s="81"/>
      <c r="C109" s="81"/>
      <c r="D109" s="81"/>
      <c r="E109" s="82"/>
      <c r="F109" s="81"/>
      <c r="G109" s="81"/>
      <c r="H109" s="81"/>
      <c r="I109" s="118" t="str">
        <f>IFERROR(IF(AND(EPDListTable[[#This Row],[Product ID]]&lt;&gt;"",EPDListTable[[#This Row],[Product name / description]]&lt;&gt;"",EPDListTable[[#This Row],[Product type (generic)]]&lt;&gt;"",EPDListTable[[#This Row],[Product classification]]&lt;&gt;"",G109="yes",EPDListTable[[#This Row],[EPD evidence (e.g. URL/link to certificate)]]&lt;&gt;""),VLOOKUP(EPDListTable[[#This Row],[EPD type (see manual)]],EPDPoints,2,FALSE),""),"")</f>
        <v/>
      </c>
    </row>
    <row r="110" spans="2:9" s="113" customFormat="1" x14ac:dyDescent="0.25">
      <c r="B110" s="81"/>
      <c r="C110" s="81"/>
      <c r="D110" s="81"/>
      <c r="E110" s="82"/>
      <c r="F110" s="81"/>
      <c r="G110" s="81"/>
      <c r="H110" s="81"/>
      <c r="I110" s="118" t="str">
        <f>IFERROR(IF(AND(EPDListTable[[#This Row],[Product ID]]&lt;&gt;"",EPDListTable[[#This Row],[Product name / description]]&lt;&gt;"",EPDListTable[[#This Row],[Product type (generic)]]&lt;&gt;"",EPDListTable[[#This Row],[Product classification]]&lt;&gt;"",G110="yes",EPDListTable[[#This Row],[EPD evidence (e.g. URL/link to certificate)]]&lt;&gt;""),VLOOKUP(EPDListTable[[#This Row],[EPD type (see manual)]],EPDPoints,2,FALSE),""),"")</f>
        <v/>
      </c>
    </row>
    <row r="111" spans="2:9" s="113" customFormat="1" x14ac:dyDescent="0.25">
      <c r="B111" s="81"/>
      <c r="C111" s="81"/>
      <c r="D111" s="81"/>
      <c r="E111" s="82"/>
      <c r="F111" s="81"/>
      <c r="G111" s="81"/>
      <c r="H111" s="81"/>
      <c r="I111" s="118" t="str">
        <f>IFERROR(IF(AND(EPDListTable[[#This Row],[Product ID]]&lt;&gt;"",EPDListTable[[#This Row],[Product name / description]]&lt;&gt;"",EPDListTable[[#This Row],[Product type (generic)]]&lt;&gt;"",EPDListTable[[#This Row],[Product classification]]&lt;&gt;"",G111="yes",EPDListTable[[#This Row],[EPD evidence (e.g. URL/link to certificate)]]&lt;&gt;""),VLOOKUP(EPDListTable[[#This Row],[EPD type (see manual)]],EPDPoints,2,FALSE),""),"")</f>
        <v/>
      </c>
    </row>
    <row r="112" spans="2:9" s="113" customFormat="1" x14ac:dyDescent="0.25">
      <c r="B112" s="81"/>
      <c r="C112" s="81"/>
      <c r="D112" s="81"/>
      <c r="E112" s="82"/>
      <c r="F112" s="81"/>
      <c r="G112" s="81"/>
      <c r="H112" s="81"/>
      <c r="I112" s="118" t="str">
        <f>IFERROR(IF(AND(EPDListTable[[#This Row],[Product ID]]&lt;&gt;"",EPDListTable[[#This Row],[Product name / description]]&lt;&gt;"",EPDListTable[[#This Row],[Product type (generic)]]&lt;&gt;"",EPDListTable[[#This Row],[Product classification]]&lt;&gt;"",G112="yes",EPDListTable[[#This Row],[EPD evidence (e.g. URL/link to certificate)]]&lt;&gt;""),VLOOKUP(EPDListTable[[#This Row],[EPD type (see manual)]],EPDPoints,2,FALSE),""),"")</f>
        <v/>
      </c>
    </row>
    <row r="113" spans="2:9" s="113" customFormat="1" x14ac:dyDescent="0.25">
      <c r="B113" s="81"/>
      <c r="C113" s="81"/>
      <c r="D113" s="81"/>
      <c r="E113" s="82"/>
      <c r="F113" s="81"/>
      <c r="G113" s="81"/>
      <c r="H113" s="81"/>
      <c r="I113" s="118" t="str">
        <f>IFERROR(IF(AND(EPDListTable[[#This Row],[Product ID]]&lt;&gt;"",EPDListTable[[#This Row],[Product name / description]]&lt;&gt;"",EPDListTable[[#This Row],[Product type (generic)]]&lt;&gt;"",EPDListTable[[#This Row],[Product classification]]&lt;&gt;"",G113="yes",EPDListTable[[#This Row],[EPD evidence (e.g. URL/link to certificate)]]&lt;&gt;""),VLOOKUP(EPDListTable[[#This Row],[EPD type (see manual)]],EPDPoints,2,FALSE),""),"")</f>
        <v/>
      </c>
    </row>
    <row r="114" spans="2:9" s="113" customFormat="1" x14ac:dyDescent="0.25">
      <c r="B114" s="81"/>
      <c r="C114" s="81"/>
      <c r="D114" s="81"/>
      <c r="E114" s="82"/>
      <c r="F114" s="81"/>
      <c r="G114" s="81"/>
      <c r="H114" s="81"/>
      <c r="I114" s="118" t="str">
        <f>IFERROR(IF(AND(EPDListTable[[#This Row],[Product ID]]&lt;&gt;"",EPDListTable[[#This Row],[Product name / description]]&lt;&gt;"",EPDListTable[[#This Row],[Product type (generic)]]&lt;&gt;"",EPDListTable[[#This Row],[Product classification]]&lt;&gt;"",G114="yes",EPDListTable[[#This Row],[EPD evidence (e.g. URL/link to certificate)]]&lt;&gt;""),VLOOKUP(EPDListTable[[#This Row],[EPD type (see manual)]],EPDPoints,2,FALSE),""),"")</f>
        <v/>
      </c>
    </row>
    <row r="115" spans="2:9" s="113" customFormat="1" x14ac:dyDescent="0.25">
      <c r="B115" s="81"/>
      <c r="C115" s="81"/>
      <c r="D115" s="81"/>
      <c r="E115" s="82"/>
      <c r="F115" s="81"/>
      <c r="G115" s="81"/>
      <c r="H115" s="81"/>
      <c r="I115" s="118" t="str">
        <f>IFERROR(IF(AND(EPDListTable[[#This Row],[Product ID]]&lt;&gt;"",EPDListTable[[#This Row],[Product name / description]]&lt;&gt;"",EPDListTable[[#This Row],[Product type (generic)]]&lt;&gt;"",EPDListTable[[#This Row],[Product classification]]&lt;&gt;"",G115="yes",EPDListTable[[#This Row],[EPD evidence (e.g. URL/link to certificate)]]&lt;&gt;""),VLOOKUP(EPDListTable[[#This Row],[EPD type (see manual)]],EPDPoints,2,FALSE),""),"")</f>
        <v/>
      </c>
    </row>
    <row r="116" spans="2:9" s="113" customFormat="1" x14ac:dyDescent="0.25">
      <c r="B116" s="81"/>
      <c r="C116" s="81"/>
      <c r="D116" s="81"/>
      <c r="E116" s="82"/>
      <c r="F116" s="81"/>
      <c r="G116" s="81"/>
      <c r="H116" s="81"/>
      <c r="I116" s="118" t="str">
        <f>IFERROR(IF(AND(EPDListTable[[#This Row],[Product ID]]&lt;&gt;"",EPDListTable[[#This Row],[Product name / description]]&lt;&gt;"",EPDListTable[[#This Row],[Product type (generic)]]&lt;&gt;"",EPDListTable[[#This Row],[Product classification]]&lt;&gt;"",G116="yes",EPDListTable[[#This Row],[EPD evidence (e.g. URL/link to certificate)]]&lt;&gt;""),VLOOKUP(EPDListTable[[#This Row],[EPD type (see manual)]],EPDPoints,2,FALSE),""),"")</f>
        <v/>
      </c>
    </row>
    <row r="117" spans="2:9" s="113" customFormat="1" x14ac:dyDescent="0.25">
      <c r="B117" s="81"/>
      <c r="C117" s="81"/>
      <c r="D117" s="81"/>
      <c r="E117" s="82"/>
      <c r="F117" s="81"/>
      <c r="G117" s="81"/>
      <c r="H117" s="81"/>
      <c r="I117" s="118" t="str">
        <f>IFERROR(IF(AND(EPDListTable[[#This Row],[Product ID]]&lt;&gt;"",EPDListTable[[#This Row],[Product name / description]]&lt;&gt;"",EPDListTable[[#This Row],[Product type (generic)]]&lt;&gt;"",EPDListTable[[#This Row],[Product classification]]&lt;&gt;"",G117="yes",EPDListTable[[#This Row],[EPD evidence (e.g. URL/link to certificate)]]&lt;&gt;""),VLOOKUP(EPDListTable[[#This Row],[EPD type (see manual)]],EPDPoints,2,FALSE),""),"")</f>
        <v/>
      </c>
    </row>
    <row r="118" spans="2:9" s="113" customFormat="1" x14ac:dyDescent="0.25">
      <c r="B118" s="81"/>
      <c r="C118" s="81"/>
      <c r="D118" s="81"/>
      <c r="E118" s="82"/>
      <c r="F118" s="81"/>
      <c r="G118" s="81"/>
      <c r="H118" s="81"/>
      <c r="I118" s="118" t="str">
        <f>IFERROR(IF(AND(EPDListTable[[#This Row],[Product ID]]&lt;&gt;"",EPDListTable[[#This Row],[Product name / description]]&lt;&gt;"",EPDListTable[[#This Row],[Product type (generic)]]&lt;&gt;"",EPDListTable[[#This Row],[Product classification]]&lt;&gt;"",G118="yes",EPDListTable[[#This Row],[EPD evidence (e.g. URL/link to certificate)]]&lt;&gt;""),VLOOKUP(EPDListTable[[#This Row],[EPD type (see manual)]],EPDPoints,2,FALSE),""),"")</f>
        <v/>
      </c>
    </row>
    <row r="119" spans="2:9" s="113" customFormat="1" x14ac:dyDescent="0.25">
      <c r="B119" s="81"/>
      <c r="C119" s="81"/>
      <c r="D119" s="81"/>
      <c r="E119" s="82"/>
      <c r="F119" s="81"/>
      <c r="G119" s="81"/>
      <c r="H119" s="81"/>
      <c r="I119" s="118" t="str">
        <f>IFERROR(IF(AND(EPDListTable[[#This Row],[Product ID]]&lt;&gt;"",EPDListTable[[#This Row],[Product name / description]]&lt;&gt;"",EPDListTable[[#This Row],[Product type (generic)]]&lt;&gt;"",EPDListTable[[#This Row],[Product classification]]&lt;&gt;"",G119="yes",EPDListTable[[#This Row],[EPD evidence (e.g. URL/link to certificate)]]&lt;&gt;""),VLOOKUP(EPDListTable[[#This Row],[EPD type (see manual)]],EPDPoints,2,FALSE),""),"")</f>
        <v/>
      </c>
    </row>
    <row r="120" spans="2:9" s="113" customFormat="1" x14ac:dyDescent="0.25">
      <c r="B120" s="81"/>
      <c r="C120" s="81"/>
      <c r="D120" s="81"/>
      <c r="E120" s="82"/>
      <c r="F120" s="81"/>
      <c r="G120" s="81"/>
      <c r="H120" s="81"/>
      <c r="I120" s="118" t="str">
        <f>IFERROR(IF(AND(EPDListTable[[#This Row],[Product ID]]&lt;&gt;"",EPDListTable[[#This Row],[Product name / description]]&lt;&gt;"",EPDListTable[[#This Row],[Product type (generic)]]&lt;&gt;"",EPDListTable[[#This Row],[Product classification]]&lt;&gt;"",G120="yes",EPDListTable[[#This Row],[EPD evidence (e.g. URL/link to certificate)]]&lt;&gt;""),VLOOKUP(EPDListTable[[#This Row],[EPD type (see manual)]],EPDPoints,2,FALSE),""),"")</f>
        <v/>
      </c>
    </row>
    <row r="121" spans="2:9" s="113" customFormat="1" x14ac:dyDescent="0.25">
      <c r="B121" s="81"/>
      <c r="C121" s="81"/>
      <c r="D121" s="81"/>
      <c r="E121" s="82"/>
      <c r="F121" s="81"/>
      <c r="G121" s="81"/>
      <c r="H121" s="81"/>
      <c r="I121" s="118" t="str">
        <f>IFERROR(IF(AND(EPDListTable[[#This Row],[Product ID]]&lt;&gt;"",EPDListTable[[#This Row],[Product name / description]]&lt;&gt;"",EPDListTable[[#This Row],[Product type (generic)]]&lt;&gt;"",EPDListTable[[#This Row],[Product classification]]&lt;&gt;"",G121="yes",EPDListTable[[#This Row],[EPD evidence (e.g. URL/link to certificate)]]&lt;&gt;""),VLOOKUP(EPDListTable[[#This Row],[EPD type (see manual)]],EPDPoints,2,FALSE),""),"")</f>
        <v/>
      </c>
    </row>
    <row r="122" spans="2:9" s="113" customFormat="1" x14ac:dyDescent="0.25">
      <c r="B122" s="81"/>
      <c r="C122" s="81"/>
      <c r="D122" s="81"/>
      <c r="E122" s="82"/>
      <c r="F122" s="81"/>
      <c r="G122" s="81"/>
      <c r="H122" s="81"/>
      <c r="I122" s="118" t="str">
        <f>IFERROR(IF(AND(EPDListTable[[#This Row],[Product ID]]&lt;&gt;"",EPDListTable[[#This Row],[Product name / description]]&lt;&gt;"",EPDListTable[[#This Row],[Product type (generic)]]&lt;&gt;"",EPDListTable[[#This Row],[Product classification]]&lt;&gt;"",G122="yes",EPDListTable[[#This Row],[EPD evidence (e.g. URL/link to certificate)]]&lt;&gt;""),VLOOKUP(EPDListTable[[#This Row],[EPD type (see manual)]],EPDPoints,2,FALSE),""),"")</f>
        <v/>
      </c>
    </row>
    <row r="123" spans="2:9" s="113" customFormat="1" x14ac:dyDescent="0.25">
      <c r="B123" s="81"/>
      <c r="C123" s="81"/>
      <c r="D123" s="81"/>
      <c r="E123" s="82"/>
      <c r="F123" s="81"/>
      <c r="G123" s="81"/>
      <c r="H123" s="81"/>
      <c r="I123" s="118" t="str">
        <f>IFERROR(IF(AND(EPDListTable[[#This Row],[Product ID]]&lt;&gt;"",EPDListTable[[#This Row],[Product name / description]]&lt;&gt;"",EPDListTable[[#This Row],[Product type (generic)]]&lt;&gt;"",EPDListTable[[#This Row],[Product classification]]&lt;&gt;"",G123="yes",EPDListTable[[#This Row],[EPD evidence (e.g. URL/link to certificate)]]&lt;&gt;""),VLOOKUP(EPDListTable[[#This Row],[EPD type (see manual)]],EPDPoints,2,FALSE),""),"")</f>
        <v/>
      </c>
    </row>
    <row r="124" spans="2:9" s="113" customFormat="1" x14ac:dyDescent="0.25">
      <c r="B124" s="81"/>
      <c r="C124" s="81"/>
      <c r="D124" s="81"/>
      <c r="E124" s="82"/>
      <c r="F124" s="81"/>
      <c r="G124" s="81"/>
      <c r="H124" s="81"/>
      <c r="I124" s="118" t="str">
        <f>IFERROR(IF(AND(EPDListTable[[#This Row],[Product ID]]&lt;&gt;"",EPDListTable[[#This Row],[Product name / description]]&lt;&gt;"",EPDListTable[[#This Row],[Product type (generic)]]&lt;&gt;"",EPDListTable[[#This Row],[Product classification]]&lt;&gt;"",G124="yes",EPDListTable[[#This Row],[EPD evidence (e.g. URL/link to certificate)]]&lt;&gt;""),VLOOKUP(EPDListTable[[#This Row],[EPD type (see manual)]],EPDPoints,2,FALSE),""),"")</f>
        <v/>
      </c>
    </row>
    <row r="125" spans="2:9" s="113" customFormat="1" x14ac:dyDescent="0.25">
      <c r="B125" s="81"/>
      <c r="C125" s="81"/>
      <c r="D125" s="81"/>
      <c r="E125" s="82"/>
      <c r="F125" s="81"/>
      <c r="G125" s="81"/>
      <c r="H125" s="81"/>
      <c r="I125" s="118" t="str">
        <f>IFERROR(IF(AND(EPDListTable[[#This Row],[Product ID]]&lt;&gt;"",EPDListTable[[#This Row],[Product name / description]]&lt;&gt;"",EPDListTable[[#This Row],[Product type (generic)]]&lt;&gt;"",EPDListTable[[#This Row],[Product classification]]&lt;&gt;"",G125="yes",EPDListTable[[#This Row],[EPD evidence (e.g. URL/link to certificate)]]&lt;&gt;""),VLOOKUP(EPDListTable[[#This Row],[EPD type (see manual)]],EPDPoints,2,FALSE),""),"")</f>
        <v/>
      </c>
    </row>
    <row r="126" spans="2:9" s="113" customFormat="1" x14ac:dyDescent="0.25">
      <c r="B126" s="81"/>
      <c r="C126" s="81"/>
      <c r="D126" s="81"/>
      <c r="E126" s="82"/>
      <c r="F126" s="81"/>
      <c r="G126" s="81"/>
      <c r="H126" s="81"/>
      <c r="I126" s="118" t="str">
        <f>IFERROR(IF(AND(EPDListTable[[#This Row],[Product ID]]&lt;&gt;"",EPDListTable[[#This Row],[Product name / description]]&lt;&gt;"",EPDListTable[[#This Row],[Product type (generic)]]&lt;&gt;"",EPDListTable[[#This Row],[Product classification]]&lt;&gt;"",G126="yes",EPDListTable[[#This Row],[EPD evidence (e.g. URL/link to certificate)]]&lt;&gt;""),VLOOKUP(EPDListTable[[#This Row],[EPD type (see manual)]],EPDPoints,2,FALSE),""),"")</f>
        <v/>
      </c>
    </row>
    <row r="127" spans="2:9" s="113" customFormat="1" x14ac:dyDescent="0.25">
      <c r="B127" s="81"/>
      <c r="C127" s="81"/>
      <c r="D127" s="81"/>
      <c r="E127" s="82"/>
      <c r="F127" s="81"/>
      <c r="G127" s="81"/>
      <c r="H127" s="81"/>
      <c r="I127" s="118" t="str">
        <f>IFERROR(IF(AND(EPDListTable[[#This Row],[Product ID]]&lt;&gt;"",EPDListTable[[#This Row],[Product name / description]]&lt;&gt;"",EPDListTable[[#This Row],[Product type (generic)]]&lt;&gt;"",EPDListTable[[#This Row],[Product classification]]&lt;&gt;"",G127="yes",EPDListTable[[#This Row],[EPD evidence (e.g. URL/link to certificate)]]&lt;&gt;""),VLOOKUP(EPDListTable[[#This Row],[EPD type (see manual)]],EPDPoints,2,FALSE),""),"")</f>
        <v/>
      </c>
    </row>
    <row r="128" spans="2:9" s="113" customFormat="1" x14ac:dyDescent="0.25">
      <c r="B128" s="81"/>
      <c r="C128" s="81"/>
      <c r="D128" s="81"/>
      <c r="E128" s="82"/>
      <c r="F128" s="81"/>
      <c r="G128" s="81"/>
      <c r="H128" s="81"/>
      <c r="I128" s="118" t="str">
        <f>IFERROR(IF(AND(EPDListTable[[#This Row],[Product ID]]&lt;&gt;"",EPDListTable[[#This Row],[Product name / description]]&lt;&gt;"",EPDListTable[[#This Row],[Product type (generic)]]&lt;&gt;"",EPDListTable[[#This Row],[Product classification]]&lt;&gt;"",G128="yes",EPDListTable[[#This Row],[EPD evidence (e.g. URL/link to certificate)]]&lt;&gt;""),VLOOKUP(EPDListTable[[#This Row],[EPD type (see manual)]],EPDPoints,2,FALSE),""),"")</f>
        <v/>
      </c>
    </row>
    <row r="129" spans="2:9" s="113" customFormat="1" x14ac:dyDescent="0.25">
      <c r="B129" s="81"/>
      <c r="C129" s="81"/>
      <c r="D129" s="81"/>
      <c r="E129" s="82"/>
      <c r="F129" s="81"/>
      <c r="G129" s="81"/>
      <c r="H129" s="81"/>
      <c r="I129" s="118" t="str">
        <f>IFERROR(IF(AND(EPDListTable[[#This Row],[Product ID]]&lt;&gt;"",EPDListTable[[#This Row],[Product name / description]]&lt;&gt;"",EPDListTable[[#This Row],[Product type (generic)]]&lt;&gt;"",EPDListTable[[#This Row],[Product classification]]&lt;&gt;"",G129="yes",EPDListTable[[#This Row],[EPD evidence (e.g. URL/link to certificate)]]&lt;&gt;""),VLOOKUP(EPDListTable[[#This Row],[EPD type (see manual)]],EPDPoints,2,FALSE),""),"")</f>
        <v/>
      </c>
    </row>
    <row r="130" spans="2:9" s="113" customFormat="1" x14ac:dyDescent="0.25">
      <c r="B130" s="81"/>
      <c r="C130" s="81"/>
      <c r="D130" s="81"/>
      <c r="E130" s="82"/>
      <c r="F130" s="81"/>
      <c r="G130" s="81"/>
      <c r="H130" s="81"/>
      <c r="I130" s="118" t="str">
        <f>IFERROR(IF(AND(EPDListTable[[#This Row],[Product ID]]&lt;&gt;"",EPDListTable[[#This Row],[Product name / description]]&lt;&gt;"",EPDListTable[[#This Row],[Product type (generic)]]&lt;&gt;"",EPDListTable[[#This Row],[Product classification]]&lt;&gt;"",G130="yes",EPDListTable[[#This Row],[EPD evidence (e.g. URL/link to certificate)]]&lt;&gt;""),VLOOKUP(EPDListTable[[#This Row],[EPD type (see manual)]],EPDPoints,2,FALSE),""),"")</f>
        <v/>
      </c>
    </row>
    <row r="131" spans="2:9" s="113" customFormat="1" x14ac:dyDescent="0.25">
      <c r="B131" s="81"/>
      <c r="C131" s="81"/>
      <c r="D131" s="81"/>
      <c r="E131" s="82"/>
      <c r="F131" s="81"/>
      <c r="G131" s="81"/>
      <c r="H131" s="81"/>
      <c r="I131" s="118" t="str">
        <f>IFERROR(IF(AND(EPDListTable[[#This Row],[Product ID]]&lt;&gt;"",EPDListTable[[#This Row],[Product name / description]]&lt;&gt;"",EPDListTable[[#This Row],[Product type (generic)]]&lt;&gt;"",EPDListTable[[#This Row],[Product classification]]&lt;&gt;"",G131="yes",EPDListTable[[#This Row],[EPD evidence (e.g. URL/link to certificate)]]&lt;&gt;""),VLOOKUP(EPDListTable[[#This Row],[EPD type (see manual)]],EPDPoints,2,FALSE),""),"")</f>
        <v/>
      </c>
    </row>
    <row r="132" spans="2:9" s="113" customFormat="1" x14ac:dyDescent="0.25">
      <c r="B132" s="81"/>
      <c r="C132" s="81"/>
      <c r="D132" s="81"/>
      <c r="E132" s="82"/>
      <c r="F132" s="81"/>
      <c r="G132" s="81"/>
      <c r="H132" s="81"/>
      <c r="I132" s="118" t="str">
        <f>IFERROR(IF(AND(EPDListTable[[#This Row],[Product ID]]&lt;&gt;"",EPDListTable[[#This Row],[Product name / description]]&lt;&gt;"",EPDListTable[[#This Row],[Product type (generic)]]&lt;&gt;"",EPDListTable[[#This Row],[Product classification]]&lt;&gt;"",G132="yes",EPDListTable[[#This Row],[EPD evidence (e.g. URL/link to certificate)]]&lt;&gt;""),VLOOKUP(EPDListTable[[#This Row],[EPD type (see manual)]],EPDPoints,2,FALSE),""),"")</f>
        <v/>
      </c>
    </row>
    <row r="133" spans="2:9" s="113" customFormat="1" x14ac:dyDescent="0.25">
      <c r="B133" s="81"/>
      <c r="C133" s="81"/>
      <c r="D133" s="81"/>
      <c r="E133" s="82"/>
      <c r="F133" s="81"/>
      <c r="G133" s="81"/>
      <c r="H133" s="81"/>
      <c r="I133" s="118" t="str">
        <f>IFERROR(IF(AND(EPDListTable[[#This Row],[Product ID]]&lt;&gt;"",EPDListTable[[#This Row],[Product name / description]]&lt;&gt;"",EPDListTable[[#This Row],[Product type (generic)]]&lt;&gt;"",EPDListTable[[#This Row],[Product classification]]&lt;&gt;"",G133="yes",EPDListTable[[#This Row],[EPD evidence (e.g. URL/link to certificate)]]&lt;&gt;""),VLOOKUP(EPDListTable[[#This Row],[EPD type (see manual)]],EPDPoints,2,FALSE),""),"")</f>
        <v/>
      </c>
    </row>
    <row r="134" spans="2:9" s="113" customFormat="1" x14ac:dyDescent="0.25">
      <c r="B134" s="81"/>
      <c r="C134" s="81"/>
      <c r="D134" s="81"/>
      <c r="E134" s="82"/>
      <c r="F134" s="81"/>
      <c r="G134" s="81"/>
      <c r="H134" s="81"/>
      <c r="I134" s="118" t="str">
        <f>IFERROR(IF(AND(EPDListTable[[#This Row],[Product ID]]&lt;&gt;"",EPDListTable[[#This Row],[Product name / description]]&lt;&gt;"",EPDListTable[[#This Row],[Product type (generic)]]&lt;&gt;"",EPDListTable[[#This Row],[Product classification]]&lt;&gt;"",G134="yes",EPDListTable[[#This Row],[EPD evidence (e.g. URL/link to certificate)]]&lt;&gt;""),VLOOKUP(EPDListTable[[#This Row],[EPD type (see manual)]],EPDPoints,2,FALSE),""),"")</f>
        <v/>
      </c>
    </row>
    <row r="135" spans="2:9" s="113" customFormat="1" x14ac:dyDescent="0.25">
      <c r="B135" s="81"/>
      <c r="C135" s="81"/>
      <c r="D135" s="81"/>
      <c r="E135" s="82"/>
      <c r="F135" s="81"/>
      <c r="G135" s="81"/>
      <c r="H135" s="81"/>
      <c r="I135" s="118" t="str">
        <f>IFERROR(IF(AND(EPDListTable[[#This Row],[Product ID]]&lt;&gt;"",EPDListTable[[#This Row],[Product name / description]]&lt;&gt;"",EPDListTable[[#This Row],[Product type (generic)]]&lt;&gt;"",EPDListTable[[#This Row],[Product classification]]&lt;&gt;"",G135="yes",EPDListTable[[#This Row],[EPD evidence (e.g. URL/link to certificate)]]&lt;&gt;""),VLOOKUP(EPDListTable[[#This Row],[EPD type (see manual)]],EPDPoints,2,FALSE),""),"")</f>
        <v/>
      </c>
    </row>
    <row r="136" spans="2:9" s="113" customFormat="1" x14ac:dyDescent="0.25">
      <c r="B136" s="81"/>
      <c r="C136" s="81"/>
      <c r="D136" s="81"/>
      <c r="E136" s="82"/>
      <c r="F136" s="81"/>
      <c r="G136" s="81"/>
      <c r="H136" s="81"/>
      <c r="I136" s="118" t="str">
        <f>IFERROR(IF(AND(EPDListTable[[#This Row],[Product ID]]&lt;&gt;"",EPDListTable[[#This Row],[Product name / description]]&lt;&gt;"",EPDListTable[[#This Row],[Product type (generic)]]&lt;&gt;"",EPDListTable[[#This Row],[Product classification]]&lt;&gt;"",G136="yes",EPDListTable[[#This Row],[EPD evidence (e.g. URL/link to certificate)]]&lt;&gt;""),VLOOKUP(EPDListTable[[#This Row],[EPD type (see manual)]],EPDPoints,2,FALSE),""),"")</f>
        <v/>
      </c>
    </row>
    <row r="137" spans="2:9" s="113" customFormat="1" x14ac:dyDescent="0.25">
      <c r="B137" s="81"/>
      <c r="C137" s="81"/>
      <c r="D137" s="81"/>
      <c r="E137" s="82"/>
      <c r="F137" s="81"/>
      <c r="G137" s="81"/>
      <c r="H137" s="81"/>
      <c r="I137" s="118" t="str">
        <f>IFERROR(IF(AND(EPDListTable[[#This Row],[Product ID]]&lt;&gt;"",EPDListTable[[#This Row],[Product name / description]]&lt;&gt;"",EPDListTable[[#This Row],[Product type (generic)]]&lt;&gt;"",EPDListTable[[#This Row],[Product classification]]&lt;&gt;"",G137="yes",EPDListTable[[#This Row],[EPD evidence (e.g. URL/link to certificate)]]&lt;&gt;""),VLOOKUP(EPDListTable[[#This Row],[EPD type (see manual)]],EPDPoints,2,FALSE),""),"")</f>
        <v/>
      </c>
    </row>
    <row r="138" spans="2:9" s="113" customFormat="1" x14ac:dyDescent="0.25">
      <c r="B138" s="81"/>
      <c r="C138" s="81"/>
      <c r="D138" s="81"/>
      <c r="E138" s="82"/>
      <c r="F138" s="81"/>
      <c r="G138" s="81"/>
      <c r="H138" s="81"/>
      <c r="I138" s="118" t="str">
        <f>IFERROR(IF(AND(EPDListTable[[#This Row],[Product ID]]&lt;&gt;"",EPDListTable[[#This Row],[Product name / description]]&lt;&gt;"",EPDListTable[[#This Row],[Product type (generic)]]&lt;&gt;"",EPDListTable[[#This Row],[Product classification]]&lt;&gt;"",G138="yes",EPDListTable[[#This Row],[EPD evidence (e.g. URL/link to certificate)]]&lt;&gt;""),VLOOKUP(EPDListTable[[#This Row],[EPD type (see manual)]],EPDPoints,2,FALSE),""),"")</f>
        <v/>
      </c>
    </row>
    <row r="139" spans="2:9" s="113" customFormat="1" x14ac:dyDescent="0.25">
      <c r="B139" s="81"/>
      <c r="C139" s="81"/>
      <c r="D139" s="81"/>
      <c r="E139" s="82"/>
      <c r="F139" s="81"/>
      <c r="G139" s="81"/>
      <c r="H139" s="81"/>
      <c r="I139" s="118" t="str">
        <f>IFERROR(IF(AND(EPDListTable[[#This Row],[Product ID]]&lt;&gt;"",EPDListTable[[#This Row],[Product name / description]]&lt;&gt;"",EPDListTable[[#This Row],[Product type (generic)]]&lt;&gt;"",EPDListTable[[#This Row],[Product classification]]&lt;&gt;"",G139="yes",EPDListTable[[#This Row],[EPD evidence (e.g. URL/link to certificate)]]&lt;&gt;""),VLOOKUP(EPDListTable[[#This Row],[EPD type (see manual)]],EPDPoints,2,FALSE),""),"")</f>
        <v/>
      </c>
    </row>
    <row r="140" spans="2:9" s="113" customFormat="1" x14ac:dyDescent="0.25">
      <c r="B140" s="81"/>
      <c r="C140" s="81"/>
      <c r="D140" s="81"/>
      <c r="E140" s="82"/>
      <c r="F140" s="81"/>
      <c r="G140" s="81"/>
      <c r="H140" s="81"/>
      <c r="I140" s="118" t="str">
        <f>IFERROR(IF(AND(EPDListTable[[#This Row],[Product ID]]&lt;&gt;"",EPDListTable[[#This Row],[Product name / description]]&lt;&gt;"",EPDListTable[[#This Row],[Product type (generic)]]&lt;&gt;"",EPDListTable[[#This Row],[Product classification]]&lt;&gt;"",G140="yes",EPDListTable[[#This Row],[EPD evidence (e.g. URL/link to certificate)]]&lt;&gt;""),VLOOKUP(EPDListTable[[#This Row],[EPD type (see manual)]],EPDPoints,2,FALSE),""),"")</f>
        <v/>
      </c>
    </row>
    <row r="141" spans="2:9" s="113" customFormat="1" x14ac:dyDescent="0.25">
      <c r="B141" s="81"/>
      <c r="C141" s="81"/>
      <c r="D141" s="81"/>
      <c r="E141" s="82"/>
      <c r="F141" s="81"/>
      <c r="G141" s="81"/>
      <c r="H141" s="81"/>
      <c r="I141" s="118" t="str">
        <f>IFERROR(IF(AND(EPDListTable[[#This Row],[Product ID]]&lt;&gt;"",EPDListTable[[#This Row],[Product name / description]]&lt;&gt;"",EPDListTable[[#This Row],[Product type (generic)]]&lt;&gt;"",EPDListTable[[#This Row],[Product classification]]&lt;&gt;"",G141="yes",EPDListTable[[#This Row],[EPD evidence (e.g. URL/link to certificate)]]&lt;&gt;""),VLOOKUP(EPDListTable[[#This Row],[EPD type (see manual)]],EPDPoints,2,FALSE),""),"")</f>
        <v/>
      </c>
    </row>
    <row r="142" spans="2:9" s="113" customFormat="1" x14ac:dyDescent="0.25">
      <c r="B142" s="81"/>
      <c r="C142" s="81"/>
      <c r="D142" s="81"/>
      <c r="E142" s="82"/>
      <c r="F142" s="81"/>
      <c r="G142" s="81"/>
      <c r="H142" s="81"/>
      <c r="I142" s="118" t="str">
        <f>IFERROR(IF(AND(EPDListTable[[#This Row],[Product ID]]&lt;&gt;"",EPDListTable[[#This Row],[Product name / description]]&lt;&gt;"",EPDListTable[[#This Row],[Product type (generic)]]&lt;&gt;"",EPDListTable[[#This Row],[Product classification]]&lt;&gt;"",G142="yes",EPDListTable[[#This Row],[EPD evidence (e.g. URL/link to certificate)]]&lt;&gt;""),VLOOKUP(EPDListTable[[#This Row],[EPD type (see manual)]],EPDPoints,2,FALSE),""),"")</f>
        <v/>
      </c>
    </row>
    <row r="143" spans="2:9" s="113" customFormat="1" x14ac:dyDescent="0.25">
      <c r="B143" s="81"/>
      <c r="C143" s="81"/>
      <c r="D143" s="81"/>
      <c r="E143" s="82"/>
      <c r="F143" s="81"/>
      <c r="G143" s="81"/>
      <c r="H143" s="81"/>
      <c r="I143" s="118" t="str">
        <f>IFERROR(IF(AND(EPDListTable[[#This Row],[Product ID]]&lt;&gt;"",EPDListTable[[#This Row],[Product name / description]]&lt;&gt;"",EPDListTable[[#This Row],[Product type (generic)]]&lt;&gt;"",EPDListTable[[#This Row],[Product classification]]&lt;&gt;"",G143="yes",EPDListTable[[#This Row],[EPD evidence (e.g. URL/link to certificate)]]&lt;&gt;""),VLOOKUP(EPDListTable[[#This Row],[EPD type (see manual)]],EPDPoints,2,FALSE),""),"")</f>
        <v/>
      </c>
    </row>
    <row r="144" spans="2:9" s="113" customFormat="1" x14ac:dyDescent="0.25">
      <c r="B144" s="81"/>
      <c r="C144" s="81"/>
      <c r="D144" s="81"/>
      <c r="E144" s="82"/>
      <c r="F144" s="81"/>
      <c r="G144" s="81"/>
      <c r="H144" s="81"/>
      <c r="I144" s="118" t="str">
        <f>IFERROR(IF(AND(EPDListTable[[#This Row],[Product ID]]&lt;&gt;"",EPDListTable[[#This Row],[Product name / description]]&lt;&gt;"",EPDListTable[[#This Row],[Product type (generic)]]&lt;&gt;"",EPDListTable[[#This Row],[Product classification]]&lt;&gt;"",G144="yes",EPDListTable[[#This Row],[EPD evidence (e.g. URL/link to certificate)]]&lt;&gt;""),VLOOKUP(EPDListTable[[#This Row],[EPD type (see manual)]],EPDPoints,2,FALSE),""),"")</f>
        <v/>
      </c>
    </row>
    <row r="145" spans="2:9" s="113" customFormat="1" x14ac:dyDescent="0.25">
      <c r="B145" s="81"/>
      <c r="C145" s="81"/>
      <c r="D145" s="81"/>
      <c r="E145" s="82"/>
      <c r="F145" s="81"/>
      <c r="G145" s="81"/>
      <c r="H145" s="81"/>
      <c r="I145" s="118" t="str">
        <f>IFERROR(IF(AND(EPDListTable[[#This Row],[Product ID]]&lt;&gt;"",EPDListTable[[#This Row],[Product name / description]]&lt;&gt;"",EPDListTable[[#This Row],[Product type (generic)]]&lt;&gt;"",EPDListTable[[#This Row],[Product classification]]&lt;&gt;"",G145="yes",EPDListTable[[#This Row],[EPD evidence (e.g. URL/link to certificate)]]&lt;&gt;""),VLOOKUP(EPDListTable[[#This Row],[EPD type (see manual)]],EPDPoints,2,FALSE),""),"")</f>
        <v/>
      </c>
    </row>
    <row r="146" spans="2:9" s="113" customFormat="1" x14ac:dyDescent="0.25">
      <c r="B146" s="81"/>
      <c r="C146" s="81"/>
      <c r="D146" s="81"/>
      <c r="E146" s="82"/>
      <c r="F146" s="81"/>
      <c r="G146" s="81"/>
      <c r="H146" s="81"/>
      <c r="I146" s="118" t="str">
        <f>IFERROR(IF(AND(EPDListTable[[#This Row],[Product ID]]&lt;&gt;"",EPDListTable[[#This Row],[Product name / description]]&lt;&gt;"",EPDListTable[[#This Row],[Product type (generic)]]&lt;&gt;"",EPDListTable[[#This Row],[Product classification]]&lt;&gt;"",G146="yes",EPDListTable[[#This Row],[EPD evidence (e.g. URL/link to certificate)]]&lt;&gt;""),VLOOKUP(EPDListTable[[#This Row],[EPD type (see manual)]],EPDPoints,2,FALSE),""),"")</f>
        <v/>
      </c>
    </row>
    <row r="147" spans="2:9" s="113" customFormat="1" x14ac:dyDescent="0.25">
      <c r="B147" s="81"/>
      <c r="C147" s="81"/>
      <c r="D147" s="81"/>
      <c r="E147" s="82"/>
      <c r="F147" s="81"/>
      <c r="G147" s="81"/>
      <c r="H147" s="81"/>
      <c r="I147" s="118" t="str">
        <f>IFERROR(IF(AND(EPDListTable[[#This Row],[Product ID]]&lt;&gt;"",EPDListTable[[#This Row],[Product name / description]]&lt;&gt;"",EPDListTable[[#This Row],[Product type (generic)]]&lt;&gt;"",EPDListTable[[#This Row],[Product classification]]&lt;&gt;"",G147="yes",EPDListTable[[#This Row],[EPD evidence (e.g. URL/link to certificate)]]&lt;&gt;""),VLOOKUP(EPDListTable[[#This Row],[EPD type (see manual)]],EPDPoints,2,FALSE),""),"")</f>
        <v/>
      </c>
    </row>
    <row r="148" spans="2:9" s="113" customFormat="1" x14ac:dyDescent="0.25">
      <c r="B148" s="81"/>
      <c r="C148" s="81"/>
      <c r="D148" s="81"/>
      <c r="E148" s="82"/>
      <c r="F148" s="81"/>
      <c r="G148" s="81"/>
      <c r="H148" s="81"/>
      <c r="I148" s="118" t="str">
        <f>IFERROR(IF(AND(EPDListTable[[#This Row],[Product ID]]&lt;&gt;"",EPDListTable[[#This Row],[Product name / description]]&lt;&gt;"",EPDListTable[[#This Row],[Product type (generic)]]&lt;&gt;"",EPDListTable[[#This Row],[Product classification]]&lt;&gt;"",G148="yes",EPDListTable[[#This Row],[EPD evidence (e.g. URL/link to certificate)]]&lt;&gt;""),VLOOKUP(EPDListTable[[#This Row],[EPD type (see manual)]],EPDPoints,2,FALSE),""),"")</f>
        <v/>
      </c>
    </row>
    <row r="149" spans="2:9" s="113" customFormat="1" x14ac:dyDescent="0.25">
      <c r="B149" s="81"/>
      <c r="C149" s="81"/>
      <c r="D149" s="81"/>
      <c r="E149" s="82"/>
      <c r="F149" s="81"/>
      <c r="G149" s="81"/>
      <c r="H149" s="81"/>
      <c r="I149" s="118" t="str">
        <f>IFERROR(IF(AND(EPDListTable[[#This Row],[Product ID]]&lt;&gt;"",EPDListTable[[#This Row],[Product name / description]]&lt;&gt;"",EPDListTable[[#This Row],[Product type (generic)]]&lt;&gt;"",EPDListTable[[#This Row],[Product classification]]&lt;&gt;"",G149="yes",EPDListTable[[#This Row],[EPD evidence (e.g. URL/link to certificate)]]&lt;&gt;""),VLOOKUP(EPDListTable[[#This Row],[EPD type (see manual)]],EPDPoints,2,FALSE),""),"")</f>
        <v/>
      </c>
    </row>
    <row r="150" spans="2:9" s="113" customFormat="1" x14ac:dyDescent="0.25">
      <c r="B150" s="81"/>
      <c r="C150" s="81"/>
      <c r="D150" s="81"/>
      <c r="E150" s="82"/>
      <c r="F150" s="81"/>
      <c r="G150" s="81"/>
      <c r="H150" s="81"/>
      <c r="I150" s="118" t="str">
        <f>IFERROR(IF(AND(EPDListTable[[#This Row],[Product ID]]&lt;&gt;"",EPDListTable[[#This Row],[Product name / description]]&lt;&gt;"",EPDListTable[[#This Row],[Product type (generic)]]&lt;&gt;"",EPDListTable[[#This Row],[Product classification]]&lt;&gt;"",G150="yes",EPDListTable[[#This Row],[EPD evidence (e.g. URL/link to certificate)]]&lt;&gt;""),VLOOKUP(EPDListTable[[#This Row],[EPD type (see manual)]],EPDPoints,2,FALSE),""),"")</f>
        <v/>
      </c>
    </row>
    <row r="151" spans="2:9" s="113" customFormat="1" x14ac:dyDescent="0.25">
      <c r="B151" s="81"/>
      <c r="C151" s="81"/>
      <c r="D151" s="81"/>
      <c r="E151" s="82"/>
      <c r="F151" s="81"/>
      <c r="G151" s="81"/>
      <c r="H151" s="81"/>
      <c r="I151" s="118" t="str">
        <f>IFERROR(IF(AND(EPDListTable[[#This Row],[Product ID]]&lt;&gt;"",EPDListTable[[#This Row],[Product name / description]]&lt;&gt;"",EPDListTable[[#This Row],[Product type (generic)]]&lt;&gt;"",EPDListTable[[#This Row],[Product classification]]&lt;&gt;"",G151="yes",EPDListTable[[#This Row],[EPD evidence (e.g. URL/link to certificate)]]&lt;&gt;""),VLOOKUP(EPDListTable[[#This Row],[EPD type (see manual)]],EPDPoints,2,FALSE),""),"")</f>
        <v/>
      </c>
    </row>
    <row r="152" spans="2:9" s="113" customFormat="1" x14ac:dyDescent="0.25">
      <c r="B152" s="81"/>
      <c r="C152" s="81"/>
      <c r="D152" s="81"/>
      <c r="E152" s="82"/>
      <c r="F152" s="81"/>
      <c r="G152" s="81"/>
      <c r="H152" s="81"/>
      <c r="I152" s="118" t="str">
        <f>IFERROR(IF(AND(EPDListTable[[#This Row],[Product ID]]&lt;&gt;"",EPDListTable[[#This Row],[Product name / description]]&lt;&gt;"",EPDListTable[[#This Row],[Product type (generic)]]&lt;&gt;"",EPDListTable[[#This Row],[Product classification]]&lt;&gt;"",G152="yes",EPDListTable[[#This Row],[EPD evidence (e.g. URL/link to certificate)]]&lt;&gt;""),VLOOKUP(EPDListTable[[#This Row],[EPD type (see manual)]],EPDPoints,2,FALSE),""),"")</f>
        <v/>
      </c>
    </row>
    <row r="153" spans="2:9" s="113" customFormat="1" x14ac:dyDescent="0.25">
      <c r="B153" s="81"/>
      <c r="C153" s="81"/>
      <c r="D153" s="81"/>
      <c r="E153" s="82"/>
      <c r="F153" s="81"/>
      <c r="G153" s="81"/>
      <c r="H153" s="81"/>
      <c r="I153" s="118" t="str">
        <f>IFERROR(IF(AND(EPDListTable[[#This Row],[Product ID]]&lt;&gt;"",EPDListTable[[#This Row],[Product name / description]]&lt;&gt;"",EPDListTable[[#This Row],[Product type (generic)]]&lt;&gt;"",EPDListTable[[#This Row],[Product classification]]&lt;&gt;"",G153="yes",EPDListTable[[#This Row],[EPD evidence (e.g. URL/link to certificate)]]&lt;&gt;""),VLOOKUP(EPDListTable[[#This Row],[EPD type (see manual)]],EPDPoints,2,FALSE),""),"")</f>
        <v/>
      </c>
    </row>
    <row r="154" spans="2:9" s="113" customFormat="1" x14ac:dyDescent="0.25">
      <c r="B154" s="81"/>
      <c r="C154" s="81"/>
      <c r="D154" s="81"/>
      <c r="E154" s="82"/>
      <c r="F154" s="81"/>
      <c r="G154" s="81"/>
      <c r="H154" s="81"/>
      <c r="I154" s="118" t="str">
        <f>IFERROR(IF(AND(EPDListTable[[#This Row],[Product ID]]&lt;&gt;"",EPDListTable[[#This Row],[Product name / description]]&lt;&gt;"",EPDListTable[[#This Row],[Product type (generic)]]&lt;&gt;"",EPDListTable[[#This Row],[Product classification]]&lt;&gt;"",G154="yes",EPDListTable[[#This Row],[EPD evidence (e.g. URL/link to certificate)]]&lt;&gt;""),VLOOKUP(EPDListTable[[#This Row],[EPD type (see manual)]],EPDPoints,2,FALSE),""),"")</f>
        <v/>
      </c>
    </row>
    <row r="155" spans="2:9" s="113" customFormat="1" x14ac:dyDescent="0.25">
      <c r="B155" s="81"/>
      <c r="C155" s="81"/>
      <c r="D155" s="81"/>
      <c r="E155" s="82"/>
      <c r="F155" s="81"/>
      <c r="G155" s="81"/>
      <c r="H155" s="81"/>
      <c r="I155" s="118" t="str">
        <f>IFERROR(IF(AND(EPDListTable[[#This Row],[Product ID]]&lt;&gt;"",EPDListTable[[#This Row],[Product name / description]]&lt;&gt;"",EPDListTable[[#This Row],[Product type (generic)]]&lt;&gt;"",EPDListTable[[#This Row],[Product classification]]&lt;&gt;"",G155="yes",EPDListTable[[#This Row],[EPD evidence (e.g. URL/link to certificate)]]&lt;&gt;""),VLOOKUP(EPDListTable[[#This Row],[EPD type (see manual)]],EPDPoints,2,FALSE),""),"")</f>
        <v/>
      </c>
    </row>
    <row r="156" spans="2:9" s="113" customFormat="1" x14ac:dyDescent="0.25">
      <c r="B156" s="81"/>
      <c r="C156" s="81"/>
      <c r="D156" s="81"/>
      <c r="E156" s="82"/>
      <c r="F156" s="81"/>
      <c r="G156" s="81"/>
      <c r="H156" s="81"/>
      <c r="I156" s="118" t="str">
        <f>IFERROR(IF(AND(EPDListTable[[#This Row],[Product ID]]&lt;&gt;"",EPDListTable[[#This Row],[Product name / description]]&lt;&gt;"",EPDListTable[[#This Row],[Product type (generic)]]&lt;&gt;"",EPDListTable[[#This Row],[Product classification]]&lt;&gt;"",G156="yes",EPDListTable[[#This Row],[EPD evidence (e.g. URL/link to certificate)]]&lt;&gt;""),VLOOKUP(EPDListTable[[#This Row],[EPD type (see manual)]],EPDPoints,2,FALSE),""),"")</f>
        <v/>
      </c>
    </row>
    <row r="157" spans="2:9" s="113" customFormat="1" x14ac:dyDescent="0.25">
      <c r="B157" s="81"/>
      <c r="C157" s="81"/>
      <c r="D157" s="81"/>
      <c r="E157" s="82"/>
      <c r="F157" s="81"/>
      <c r="G157" s="81"/>
      <c r="H157" s="81"/>
      <c r="I157" s="118" t="str">
        <f>IFERROR(IF(AND(EPDListTable[[#This Row],[Product ID]]&lt;&gt;"",EPDListTable[[#This Row],[Product name / description]]&lt;&gt;"",EPDListTable[[#This Row],[Product type (generic)]]&lt;&gt;"",EPDListTable[[#This Row],[Product classification]]&lt;&gt;"",G157="yes",EPDListTable[[#This Row],[EPD evidence (e.g. URL/link to certificate)]]&lt;&gt;""),VLOOKUP(EPDListTable[[#This Row],[EPD type (see manual)]],EPDPoints,2,FALSE),""),"")</f>
        <v/>
      </c>
    </row>
    <row r="158" spans="2:9" s="113" customFormat="1" x14ac:dyDescent="0.25">
      <c r="B158" s="81"/>
      <c r="C158" s="81"/>
      <c r="D158" s="81"/>
      <c r="E158" s="82"/>
      <c r="F158" s="81"/>
      <c r="G158" s="81"/>
      <c r="H158" s="81"/>
      <c r="I158" s="118" t="str">
        <f>IFERROR(IF(AND(EPDListTable[[#This Row],[Product ID]]&lt;&gt;"",EPDListTable[[#This Row],[Product name / description]]&lt;&gt;"",EPDListTable[[#This Row],[Product type (generic)]]&lt;&gt;"",EPDListTable[[#This Row],[Product classification]]&lt;&gt;"",G158="yes",EPDListTable[[#This Row],[EPD evidence (e.g. URL/link to certificate)]]&lt;&gt;""),VLOOKUP(EPDListTable[[#This Row],[EPD type (see manual)]],EPDPoints,2,FALSE),""),"")</f>
        <v/>
      </c>
    </row>
    <row r="159" spans="2:9" s="113" customFormat="1" x14ac:dyDescent="0.25">
      <c r="B159" s="81"/>
      <c r="C159" s="81"/>
      <c r="D159" s="81"/>
      <c r="E159" s="82"/>
      <c r="F159" s="81"/>
      <c r="G159" s="81"/>
      <c r="H159" s="81"/>
      <c r="I159" s="118" t="str">
        <f>IFERROR(IF(AND(EPDListTable[[#This Row],[Product ID]]&lt;&gt;"",EPDListTable[[#This Row],[Product name / description]]&lt;&gt;"",EPDListTable[[#This Row],[Product type (generic)]]&lt;&gt;"",EPDListTable[[#This Row],[Product classification]]&lt;&gt;"",G159="yes",EPDListTable[[#This Row],[EPD evidence (e.g. URL/link to certificate)]]&lt;&gt;""),VLOOKUP(EPDListTable[[#This Row],[EPD type (see manual)]],EPDPoints,2,FALSE),""),"")</f>
        <v/>
      </c>
    </row>
    <row r="160" spans="2:9" s="113" customFormat="1" x14ac:dyDescent="0.25">
      <c r="B160" s="81"/>
      <c r="C160" s="81"/>
      <c r="D160" s="81"/>
      <c r="E160" s="82"/>
      <c r="F160" s="81"/>
      <c r="G160" s="81"/>
      <c r="H160" s="81"/>
      <c r="I160" s="118" t="str">
        <f>IFERROR(IF(AND(EPDListTable[[#This Row],[Product ID]]&lt;&gt;"",EPDListTable[[#This Row],[Product name / description]]&lt;&gt;"",EPDListTable[[#This Row],[Product type (generic)]]&lt;&gt;"",EPDListTable[[#This Row],[Product classification]]&lt;&gt;"",G160="yes",EPDListTable[[#This Row],[EPD evidence (e.g. URL/link to certificate)]]&lt;&gt;""),VLOOKUP(EPDListTable[[#This Row],[EPD type (see manual)]],EPDPoints,2,FALSE),""),"")</f>
        <v/>
      </c>
    </row>
    <row r="161" spans="2:9" s="113" customFormat="1" x14ac:dyDescent="0.25">
      <c r="B161" s="81"/>
      <c r="C161" s="81"/>
      <c r="D161" s="81"/>
      <c r="E161" s="82"/>
      <c r="F161" s="81"/>
      <c r="G161" s="81"/>
      <c r="H161" s="81"/>
      <c r="I161" s="118" t="str">
        <f>IFERROR(IF(AND(EPDListTable[[#This Row],[Product ID]]&lt;&gt;"",EPDListTable[[#This Row],[Product name / description]]&lt;&gt;"",EPDListTable[[#This Row],[Product type (generic)]]&lt;&gt;"",EPDListTable[[#This Row],[Product classification]]&lt;&gt;"",G161="yes",EPDListTable[[#This Row],[EPD evidence (e.g. URL/link to certificate)]]&lt;&gt;""),VLOOKUP(EPDListTable[[#This Row],[EPD type (see manual)]],EPDPoints,2,FALSE),""),"")</f>
        <v/>
      </c>
    </row>
    <row r="162" spans="2:9" s="113" customFormat="1" x14ac:dyDescent="0.25">
      <c r="B162" s="81"/>
      <c r="C162" s="81"/>
      <c r="D162" s="81"/>
      <c r="E162" s="82"/>
      <c r="F162" s="81"/>
      <c r="G162" s="81"/>
      <c r="H162" s="81"/>
      <c r="I162" s="118" t="str">
        <f>IFERROR(IF(AND(EPDListTable[[#This Row],[Product ID]]&lt;&gt;"",EPDListTable[[#This Row],[Product name / description]]&lt;&gt;"",EPDListTable[[#This Row],[Product type (generic)]]&lt;&gt;"",EPDListTable[[#This Row],[Product classification]]&lt;&gt;"",G162="yes",EPDListTable[[#This Row],[EPD evidence (e.g. URL/link to certificate)]]&lt;&gt;""),VLOOKUP(EPDListTable[[#This Row],[EPD type (see manual)]],EPDPoints,2,FALSE),""),"")</f>
        <v/>
      </c>
    </row>
    <row r="163" spans="2:9" s="113" customFormat="1" x14ac:dyDescent="0.25">
      <c r="B163" s="81"/>
      <c r="C163" s="81"/>
      <c r="D163" s="81"/>
      <c r="E163" s="82"/>
      <c r="F163" s="81"/>
      <c r="G163" s="81"/>
      <c r="H163" s="81"/>
      <c r="I163" s="118" t="str">
        <f>IFERROR(IF(AND(EPDListTable[[#This Row],[Product ID]]&lt;&gt;"",EPDListTable[[#This Row],[Product name / description]]&lt;&gt;"",EPDListTable[[#This Row],[Product type (generic)]]&lt;&gt;"",EPDListTable[[#This Row],[Product classification]]&lt;&gt;"",G163="yes",EPDListTable[[#This Row],[EPD evidence (e.g. URL/link to certificate)]]&lt;&gt;""),VLOOKUP(EPDListTable[[#This Row],[EPD type (see manual)]],EPDPoints,2,FALSE),""),"")</f>
        <v/>
      </c>
    </row>
    <row r="164" spans="2:9" s="113" customFormat="1" x14ac:dyDescent="0.25">
      <c r="B164" s="81"/>
      <c r="C164" s="81"/>
      <c r="D164" s="81"/>
      <c r="E164" s="82"/>
      <c r="F164" s="81"/>
      <c r="G164" s="81"/>
      <c r="H164" s="81"/>
      <c r="I164" s="118" t="str">
        <f>IFERROR(IF(AND(EPDListTable[[#This Row],[Product ID]]&lt;&gt;"",EPDListTable[[#This Row],[Product name / description]]&lt;&gt;"",EPDListTable[[#This Row],[Product type (generic)]]&lt;&gt;"",EPDListTable[[#This Row],[Product classification]]&lt;&gt;"",G164="yes",EPDListTable[[#This Row],[EPD evidence (e.g. URL/link to certificate)]]&lt;&gt;""),VLOOKUP(EPDListTable[[#This Row],[EPD type (see manual)]],EPDPoints,2,FALSE),""),"")</f>
        <v/>
      </c>
    </row>
    <row r="165" spans="2:9" s="113" customFormat="1" x14ac:dyDescent="0.25">
      <c r="B165" s="81"/>
      <c r="C165" s="81"/>
      <c r="D165" s="81"/>
      <c r="E165" s="82"/>
      <c r="F165" s="81"/>
      <c r="G165" s="81"/>
      <c r="H165" s="81"/>
      <c r="I165" s="118" t="str">
        <f>IFERROR(IF(AND(EPDListTable[[#This Row],[Product ID]]&lt;&gt;"",EPDListTable[[#This Row],[Product name / description]]&lt;&gt;"",EPDListTable[[#This Row],[Product type (generic)]]&lt;&gt;"",EPDListTable[[#This Row],[Product classification]]&lt;&gt;"",G165="yes",EPDListTable[[#This Row],[EPD evidence (e.g. URL/link to certificate)]]&lt;&gt;""),VLOOKUP(EPDListTable[[#This Row],[EPD type (see manual)]],EPDPoints,2,FALSE),""),"")</f>
        <v/>
      </c>
    </row>
    <row r="166" spans="2:9" s="113" customFormat="1" x14ac:dyDescent="0.25">
      <c r="B166" s="81"/>
      <c r="C166" s="81"/>
      <c r="D166" s="81"/>
      <c r="E166" s="82"/>
      <c r="F166" s="81"/>
      <c r="G166" s="81"/>
      <c r="H166" s="81"/>
      <c r="I166" s="118" t="str">
        <f>IFERROR(IF(AND(EPDListTable[[#This Row],[Product ID]]&lt;&gt;"",EPDListTable[[#This Row],[Product name / description]]&lt;&gt;"",EPDListTable[[#This Row],[Product type (generic)]]&lt;&gt;"",EPDListTable[[#This Row],[Product classification]]&lt;&gt;"",G166="yes",EPDListTable[[#This Row],[EPD evidence (e.g. URL/link to certificate)]]&lt;&gt;""),VLOOKUP(EPDListTable[[#This Row],[EPD type (see manual)]],EPDPoints,2,FALSE),""),"")</f>
        <v/>
      </c>
    </row>
    <row r="167" spans="2:9" s="113" customFormat="1" x14ac:dyDescent="0.25">
      <c r="B167" s="81"/>
      <c r="C167" s="81"/>
      <c r="D167" s="81"/>
      <c r="E167" s="82"/>
      <c r="F167" s="81"/>
      <c r="G167" s="81"/>
      <c r="H167" s="81"/>
      <c r="I167" s="118" t="str">
        <f>IFERROR(IF(AND(EPDListTable[[#This Row],[Product ID]]&lt;&gt;"",EPDListTable[[#This Row],[Product name / description]]&lt;&gt;"",EPDListTable[[#This Row],[Product type (generic)]]&lt;&gt;"",EPDListTable[[#This Row],[Product classification]]&lt;&gt;"",G167="yes",EPDListTable[[#This Row],[EPD evidence (e.g. URL/link to certificate)]]&lt;&gt;""),VLOOKUP(EPDListTable[[#This Row],[EPD type (see manual)]],EPDPoints,2,FALSE),""),"")</f>
        <v/>
      </c>
    </row>
    <row r="168" spans="2:9" s="113" customFormat="1" x14ac:dyDescent="0.25">
      <c r="B168" s="81"/>
      <c r="C168" s="81"/>
      <c r="D168" s="81"/>
      <c r="E168" s="82"/>
      <c r="F168" s="81"/>
      <c r="G168" s="81"/>
      <c r="H168" s="81"/>
      <c r="I168" s="118" t="str">
        <f>IFERROR(IF(AND(EPDListTable[[#This Row],[Product ID]]&lt;&gt;"",EPDListTable[[#This Row],[Product name / description]]&lt;&gt;"",EPDListTable[[#This Row],[Product type (generic)]]&lt;&gt;"",EPDListTable[[#This Row],[Product classification]]&lt;&gt;"",G168="yes",EPDListTable[[#This Row],[EPD evidence (e.g. URL/link to certificate)]]&lt;&gt;""),VLOOKUP(EPDListTable[[#This Row],[EPD type (see manual)]],EPDPoints,2,FALSE),""),"")</f>
        <v/>
      </c>
    </row>
    <row r="169" spans="2:9" s="113" customFormat="1" x14ac:dyDescent="0.25">
      <c r="B169" s="81"/>
      <c r="C169" s="81"/>
      <c r="D169" s="81"/>
      <c r="E169" s="82"/>
      <c r="F169" s="81"/>
      <c r="G169" s="81"/>
      <c r="H169" s="81"/>
      <c r="I169" s="118" t="str">
        <f>IFERROR(IF(AND(EPDListTable[[#This Row],[Product ID]]&lt;&gt;"",EPDListTable[[#This Row],[Product name / description]]&lt;&gt;"",EPDListTable[[#This Row],[Product type (generic)]]&lt;&gt;"",EPDListTable[[#This Row],[Product classification]]&lt;&gt;"",G169="yes",EPDListTable[[#This Row],[EPD evidence (e.g. URL/link to certificate)]]&lt;&gt;""),VLOOKUP(EPDListTable[[#This Row],[EPD type (see manual)]],EPDPoints,2,FALSE),""),"")</f>
        <v/>
      </c>
    </row>
    <row r="170" spans="2:9" s="113" customFormat="1" x14ac:dyDescent="0.25">
      <c r="B170" s="81"/>
      <c r="C170" s="81"/>
      <c r="D170" s="81"/>
      <c r="E170" s="82"/>
      <c r="F170" s="81"/>
      <c r="G170" s="81"/>
      <c r="H170" s="81"/>
      <c r="I170" s="118" t="str">
        <f>IFERROR(IF(AND(EPDListTable[[#This Row],[Product ID]]&lt;&gt;"",EPDListTable[[#This Row],[Product name / description]]&lt;&gt;"",EPDListTable[[#This Row],[Product type (generic)]]&lt;&gt;"",EPDListTable[[#This Row],[Product classification]]&lt;&gt;"",G170="yes",EPDListTable[[#This Row],[EPD evidence (e.g. URL/link to certificate)]]&lt;&gt;""),VLOOKUP(EPDListTable[[#This Row],[EPD type (see manual)]],EPDPoints,2,FALSE),""),"")</f>
        <v/>
      </c>
    </row>
    <row r="171" spans="2:9" s="113" customFormat="1" x14ac:dyDescent="0.25">
      <c r="B171" s="81"/>
      <c r="C171" s="81"/>
      <c r="D171" s="81"/>
      <c r="E171" s="82"/>
      <c r="F171" s="81"/>
      <c r="G171" s="81"/>
      <c r="H171" s="81"/>
      <c r="I171" s="118" t="str">
        <f>IFERROR(IF(AND(EPDListTable[[#This Row],[Product ID]]&lt;&gt;"",EPDListTable[[#This Row],[Product name / description]]&lt;&gt;"",EPDListTable[[#This Row],[Product type (generic)]]&lt;&gt;"",EPDListTable[[#This Row],[Product classification]]&lt;&gt;"",G171="yes",EPDListTable[[#This Row],[EPD evidence (e.g. URL/link to certificate)]]&lt;&gt;""),VLOOKUP(EPDListTable[[#This Row],[EPD type (see manual)]],EPDPoints,2,FALSE),""),"")</f>
        <v/>
      </c>
    </row>
    <row r="172" spans="2:9" s="113" customFormat="1" x14ac:dyDescent="0.25">
      <c r="B172" s="81"/>
      <c r="C172" s="81"/>
      <c r="D172" s="81"/>
      <c r="E172" s="82"/>
      <c r="F172" s="81"/>
      <c r="G172" s="81"/>
      <c r="H172" s="81"/>
      <c r="I172" s="118" t="str">
        <f>IFERROR(IF(AND(EPDListTable[[#This Row],[Product ID]]&lt;&gt;"",EPDListTable[[#This Row],[Product name / description]]&lt;&gt;"",EPDListTable[[#This Row],[Product type (generic)]]&lt;&gt;"",EPDListTable[[#This Row],[Product classification]]&lt;&gt;"",G172="yes",EPDListTable[[#This Row],[EPD evidence (e.g. URL/link to certificate)]]&lt;&gt;""),VLOOKUP(EPDListTable[[#This Row],[EPD type (see manual)]],EPDPoints,2,FALSE),""),"")</f>
        <v/>
      </c>
    </row>
    <row r="173" spans="2:9" s="113" customFormat="1" x14ac:dyDescent="0.25">
      <c r="B173" s="81"/>
      <c r="C173" s="81"/>
      <c r="D173" s="81"/>
      <c r="E173" s="82"/>
      <c r="F173" s="81"/>
      <c r="G173" s="81"/>
      <c r="H173" s="81"/>
      <c r="I173" s="118" t="str">
        <f>IFERROR(IF(AND(EPDListTable[[#This Row],[Product ID]]&lt;&gt;"",EPDListTable[[#This Row],[Product name / description]]&lt;&gt;"",EPDListTable[[#This Row],[Product type (generic)]]&lt;&gt;"",EPDListTable[[#This Row],[Product classification]]&lt;&gt;"",G173="yes",EPDListTable[[#This Row],[EPD evidence (e.g. URL/link to certificate)]]&lt;&gt;""),VLOOKUP(EPDListTable[[#This Row],[EPD type (see manual)]],EPDPoints,2,FALSE),""),"")</f>
        <v/>
      </c>
    </row>
    <row r="174" spans="2:9" s="113" customFormat="1" x14ac:dyDescent="0.25">
      <c r="B174" s="81"/>
      <c r="C174" s="81"/>
      <c r="D174" s="81"/>
      <c r="E174" s="82"/>
      <c r="F174" s="81"/>
      <c r="G174" s="81"/>
      <c r="H174" s="81"/>
      <c r="I174" s="118" t="str">
        <f>IFERROR(IF(AND(EPDListTable[[#This Row],[Product ID]]&lt;&gt;"",EPDListTable[[#This Row],[Product name / description]]&lt;&gt;"",EPDListTable[[#This Row],[Product type (generic)]]&lt;&gt;"",EPDListTable[[#This Row],[Product classification]]&lt;&gt;"",G174="yes",EPDListTable[[#This Row],[EPD evidence (e.g. URL/link to certificate)]]&lt;&gt;""),VLOOKUP(EPDListTable[[#This Row],[EPD type (see manual)]],EPDPoints,2,FALSE),""),"")</f>
        <v/>
      </c>
    </row>
    <row r="175" spans="2:9" s="113" customFormat="1" x14ac:dyDescent="0.25">
      <c r="B175" s="81"/>
      <c r="C175" s="81"/>
      <c r="D175" s="81"/>
      <c r="E175" s="82"/>
      <c r="F175" s="81"/>
      <c r="G175" s="81"/>
      <c r="H175" s="81"/>
      <c r="I175" s="118" t="str">
        <f>IFERROR(IF(AND(EPDListTable[[#This Row],[Product ID]]&lt;&gt;"",EPDListTable[[#This Row],[Product name / description]]&lt;&gt;"",EPDListTable[[#This Row],[Product type (generic)]]&lt;&gt;"",EPDListTable[[#This Row],[Product classification]]&lt;&gt;"",G175="yes",EPDListTable[[#This Row],[EPD evidence (e.g. URL/link to certificate)]]&lt;&gt;""),VLOOKUP(EPDListTable[[#This Row],[EPD type (see manual)]],EPDPoints,2,FALSE),""),"")</f>
        <v/>
      </c>
    </row>
    <row r="176" spans="2:9" s="113" customFormat="1" x14ac:dyDescent="0.25">
      <c r="B176" s="81"/>
      <c r="C176" s="81"/>
      <c r="D176" s="81"/>
      <c r="E176" s="82"/>
      <c r="F176" s="81"/>
      <c r="G176" s="81"/>
      <c r="H176" s="81"/>
      <c r="I176" s="118" t="str">
        <f>IFERROR(IF(AND(EPDListTable[[#This Row],[Product ID]]&lt;&gt;"",EPDListTable[[#This Row],[Product name / description]]&lt;&gt;"",EPDListTable[[#This Row],[Product type (generic)]]&lt;&gt;"",EPDListTable[[#This Row],[Product classification]]&lt;&gt;"",G176="yes",EPDListTable[[#This Row],[EPD evidence (e.g. URL/link to certificate)]]&lt;&gt;""),VLOOKUP(EPDListTable[[#This Row],[EPD type (see manual)]],EPDPoints,2,FALSE),""),"")</f>
        <v/>
      </c>
    </row>
    <row r="177" spans="2:9" s="113" customFormat="1" x14ac:dyDescent="0.25">
      <c r="B177" s="81"/>
      <c r="C177" s="81"/>
      <c r="D177" s="81"/>
      <c r="E177" s="82"/>
      <c r="F177" s="81"/>
      <c r="G177" s="81"/>
      <c r="H177" s="81"/>
      <c r="I177" s="118" t="str">
        <f>IFERROR(IF(AND(EPDListTable[[#This Row],[Product ID]]&lt;&gt;"",EPDListTable[[#This Row],[Product name / description]]&lt;&gt;"",EPDListTable[[#This Row],[Product type (generic)]]&lt;&gt;"",EPDListTable[[#This Row],[Product classification]]&lt;&gt;"",G177="yes",EPDListTable[[#This Row],[EPD evidence (e.g. URL/link to certificate)]]&lt;&gt;""),VLOOKUP(EPDListTable[[#This Row],[EPD type (see manual)]],EPDPoints,2,FALSE),""),"")</f>
        <v/>
      </c>
    </row>
    <row r="178" spans="2:9" s="113" customFormat="1" x14ac:dyDescent="0.25">
      <c r="B178" s="81"/>
      <c r="C178" s="81"/>
      <c r="D178" s="81"/>
      <c r="E178" s="82"/>
      <c r="F178" s="81"/>
      <c r="G178" s="81"/>
      <c r="H178" s="81"/>
      <c r="I178" s="118" t="str">
        <f>IFERROR(IF(AND(EPDListTable[[#This Row],[Product ID]]&lt;&gt;"",EPDListTable[[#This Row],[Product name / description]]&lt;&gt;"",EPDListTable[[#This Row],[Product type (generic)]]&lt;&gt;"",EPDListTable[[#This Row],[Product classification]]&lt;&gt;"",G178="yes",EPDListTable[[#This Row],[EPD evidence (e.g. URL/link to certificate)]]&lt;&gt;""),VLOOKUP(EPDListTable[[#This Row],[EPD type (see manual)]],EPDPoints,2,FALSE),""),"")</f>
        <v/>
      </c>
    </row>
    <row r="179" spans="2:9" s="113" customFormat="1" x14ac:dyDescent="0.25">
      <c r="B179" s="81"/>
      <c r="C179" s="81"/>
      <c r="D179" s="81"/>
      <c r="E179" s="82"/>
      <c r="F179" s="81"/>
      <c r="G179" s="81"/>
      <c r="H179" s="81"/>
      <c r="I179" s="118" t="str">
        <f>IFERROR(IF(AND(EPDListTable[[#This Row],[Product ID]]&lt;&gt;"",EPDListTable[[#This Row],[Product name / description]]&lt;&gt;"",EPDListTable[[#This Row],[Product type (generic)]]&lt;&gt;"",EPDListTable[[#This Row],[Product classification]]&lt;&gt;"",G179="yes",EPDListTable[[#This Row],[EPD evidence (e.g. URL/link to certificate)]]&lt;&gt;""),VLOOKUP(EPDListTable[[#This Row],[EPD type (see manual)]],EPDPoints,2,FALSE),""),"")</f>
        <v/>
      </c>
    </row>
    <row r="180" spans="2:9" s="113" customFormat="1" x14ac:dyDescent="0.25">
      <c r="B180" s="81"/>
      <c r="C180" s="81"/>
      <c r="D180" s="81"/>
      <c r="E180" s="82"/>
      <c r="F180" s="81"/>
      <c r="G180" s="81"/>
      <c r="H180" s="81"/>
      <c r="I180" s="118" t="str">
        <f>IFERROR(IF(AND(EPDListTable[[#This Row],[Product ID]]&lt;&gt;"",EPDListTable[[#This Row],[Product name / description]]&lt;&gt;"",EPDListTable[[#This Row],[Product type (generic)]]&lt;&gt;"",EPDListTable[[#This Row],[Product classification]]&lt;&gt;"",G180="yes",EPDListTable[[#This Row],[EPD evidence (e.g. URL/link to certificate)]]&lt;&gt;""),VLOOKUP(EPDListTable[[#This Row],[EPD type (see manual)]],EPDPoints,2,FALSE),""),"")</f>
        <v/>
      </c>
    </row>
    <row r="181" spans="2:9" s="113" customFormat="1" x14ac:dyDescent="0.25">
      <c r="B181" s="81"/>
      <c r="C181" s="81"/>
      <c r="D181" s="81"/>
      <c r="E181" s="82"/>
      <c r="F181" s="81"/>
      <c r="G181" s="81"/>
      <c r="H181" s="81"/>
      <c r="I181" s="118" t="str">
        <f>IFERROR(IF(AND(EPDListTable[[#This Row],[Product ID]]&lt;&gt;"",EPDListTable[[#This Row],[Product name / description]]&lt;&gt;"",EPDListTable[[#This Row],[Product type (generic)]]&lt;&gt;"",EPDListTable[[#This Row],[Product classification]]&lt;&gt;"",G181="yes",EPDListTable[[#This Row],[EPD evidence (e.g. URL/link to certificate)]]&lt;&gt;""),VLOOKUP(EPDListTable[[#This Row],[EPD type (see manual)]],EPDPoints,2,FALSE),""),"")</f>
        <v/>
      </c>
    </row>
    <row r="182" spans="2:9" s="113" customFormat="1" x14ac:dyDescent="0.25">
      <c r="B182" s="81"/>
      <c r="C182" s="81"/>
      <c r="D182" s="81"/>
      <c r="E182" s="82"/>
      <c r="F182" s="81"/>
      <c r="G182" s="81"/>
      <c r="H182" s="81"/>
      <c r="I182" s="118" t="str">
        <f>IFERROR(IF(AND(EPDListTable[[#This Row],[Product ID]]&lt;&gt;"",EPDListTable[[#This Row],[Product name / description]]&lt;&gt;"",EPDListTable[[#This Row],[Product type (generic)]]&lt;&gt;"",EPDListTable[[#This Row],[Product classification]]&lt;&gt;"",G182="yes",EPDListTable[[#This Row],[EPD evidence (e.g. URL/link to certificate)]]&lt;&gt;""),VLOOKUP(EPDListTable[[#This Row],[EPD type (see manual)]],EPDPoints,2,FALSE),""),"")</f>
        <v/>
      </c>
    </row>
    <row r="183" spans="2:9" s="113" customFormat="1" x14ac:dyDescent="0.25">
      <c r="B183" s="81"/>
      <c r="C183" s="81"/>
      <c r="D183" s="81"/>
      <c r="E183" s="82"/>
      <c r="F183" s="81"/>
      <c r="G183" s="81"/>
      <c r="H183" s="81"/>
      <c r="I183" s="118" t="str">
        <f>IFERROR(IF(AND(EPDListTable[[#This Row],[Product ID]]&lt;&gt;"",EPDListTable[[#This Row],[Product name / description]]&lt;&gt;"",EPDListTable[[#This Row],[Product type (generic)]]&lt;&gt;"",EPDListTable[[#This Row],[Product classification]]&lt;&gt;"",G183="yes",EPDListTable[[#This Row],[EPD evidence (e.g. URL/link to certificate)]]&lt;&gt;""),VLOOKUP(EPDListTable[[#This Row],[EPD type (see manual)]],EPDPoints,2,FALSE),""),"")</f>
        <v/>
      </c>
    </row>
    <row r="184" spans="2:9" s="113" customFormat="1" x14ac:dyDescent="0.25">
      <c r="B184" s="81"/>
      <c r="C184" s="81"/>
      <c r="D184" s="81"/>
      <c r="E184" s="82"/>
      <c r="F184" s="81"/>
      <c r="G184" s="81"/>
      <c r="H184" s="81"/>
      <c r="I184" s="118" t="str">
        <f>IFERROR(IF(AND(EPDListTable[[#This Row],[Product ID]]&lt;&gt;"",EPDListTable[[#This Row],[Product name / description]]&lt;&gt;"",EPDListTable[[#This Row],[Product type (generic)]]&lt;&gt;"",EPDListTable[[#This Row],[Product classification]]&lt;&gt;"",G184="yes",EPDListTable[[#This Row],[EPD evidence (e.g. URL/link to certificate)]]&lt;&gt;""),VLOOKUP(EPDListTable[[#This Row],[EPD type (see manual)]],EPDPoints,2,FALSE),""),"")</f>
        <v/>
      </c>
    </row>
    <row r="185" spans="2:9" s="113" customFormat="1" x14ac:dyDescent="0.25">
      <c r="B185" s="81"/>
      <c r="C185" s="81"/>
      <c r="D185" s="81"/>
      <c r="E185" s="82"/>
      <c r="F185" s="81"/>
      <c r="G185" s="81"/>
      <c r="H185" s="81"/>
      <c r="I185" s="118" t="str">
        <f>IFERROR(IF(AND(EPDListTable[[#This Row],[Product ID]]&lt;&gt;"",EPDListTable[[#This Row],[Product name / description]]&lt;&gt;"",EPDListTable[[#This Row],[Product type (generic)]]&lt;&gt;"",EPDListTable[[#This Row],[Product classification]]&lt;&gt;"",G185="yes",EPDListTable[[#This Row],[EPD evidence (e.g. URL/link to certificate)]]&lt;&gt;""),VLOOKUP(EPDListTable[[#This Row],[EPD type (see manual)]],EPDPoints,2,FALSE),""),"")</f>
        <v/>
      </c>
    </row>
    <row r="186" spans="2:9" s="113" customFormat="1" x14ac:dyDescent="0.25">
      <c r="B186" s="81"/>
      <c r="C186" s="81"/>
      <c r="D186" s="81"/>
      <c r="E186" s="82"/>
      <c r="F186" s="81"/>
      <c r="G186" s="81"/>
      <c r="H186" s="81"/>
      <c r="I186" s="118" t="str">
        <f>IFERROR(IF(AND(EPDListTable[[#This Row],[Product ID]]&lt;&gt;"",EPDListTable[[#This Row],[Product name / description]]&lt;&gt;"",EPDListTable[[#This Row],[Product type (generic)]]&lt;&gt;"",EPDListTable[[#This Row],[Product classification]]&lt;&gt;"",G186="yes",EPDListTable[[#This Row],[EPD evidence (e.g. URL/link to certificate)]]&lt;&gt;""),VLOOKUP(EPDListTable[[#This Row],[EPD type (see manual)]],EPDPoints,2,FALSE),""),"")</f>
        <v/>
      </c>
    </row>
    <row r="187" spans="2:9" s="113" customFormat="1" x14ac:dyDescent="0.25">
      <c r="B187" s="81"/>
      <c r="C187" s="81"/>
      <c r="D187" s="81"/>
      <c r="E187" s="82"/>
      <c r="F187" s="81"/>
      <c r="G187" s="81"/>
      <c r="H187" s="81"/>
      <c r="I187" s="118" t="str">
        <f>IFERROR(IF(AND(EPDListTable[[#This Row],[Product ID]]&lt;&gt;"",EPDListTable[[#This Row],[Product name / description]]&lt;&gt;"",EPDListTable[[#This Row],[Product type (generic)]]&lt;&gt;"",EPDListTable[[#This Row],[Product classification]]&lt;&gt;"",G187="yes",EPDListTable[[#This Row],[EPD evidence (e.g. URL/link to certificate)]]&lt;&gt;""),VLOOKUP(EPDListTable[[#This Row],[EPD type (see manual)]],EPDPoints,2,FALSE),""),"")</f>
        <v/>
      </c>
    </row>
    <row r="188" spans="2:9" s="113" customFormat="1" x14ac:dyDescent="0.25">
      <c r="B188" s="81"/>
      <c r="C188" s="81"/>
      <c r="D188" s="81"/>
      <c r="E188" s="82"/>
      <c r="F188" s="81"/>
      <c r="G188" s="81"/>
      <c r="H188" s="81"/>
      <c r="I188" s="118" t="str">
        <f>IFERROR(IF(AND(EPDListTable[[#This Row],[Product ID]]&lt;&gt;"",EPDListTable[[#This Row],[Product name / description]]&lt;&gt;"",EPDListTable[[#This Row],[Product type (generic)]]&lt;&gt;"",EPDListTable[[#This Row],[Product classification]]&lt;&gt;"",G188="yes",EPDListTable[[#This Row],[EPD evidence (e.g. URL/link to certificate)]]&lt;&gt;""),VLOOKUP(EPDListTable[[#This Row],[EPD type (see manual)]],EPDPoints,2,FALSE),""),"")</f>
        <v/>
      </c>
    </row>
    <row r="189" spans="2:9" s="113" customFormat="1" x14ac:dyDescent="0.25">
      <c r="B189" s="81"/>
      <c r="C189" s="81"/>
      <c r="D189" s="81"/>
      <c r="E189" s="82"/>
      <c r="F189" s="81"/>
      <c r="G189" s="81"/>
      <c r="H189" s="81"/>
      <c r="I189" s="118" t="str">
        <f>IFERROR(IF(AND(EPDListTable[[#This Row],[Product ID]]&lt;&gt;"",EPDListTable[[#This Row],[Product name / description]]&lt;&gt;"",EPDListTable[[#This Row],[Product type (generic)]]&lt;&gt;"",EPDListTable[[#This Row],[Product classification]]&lt;&gt;"",G189="yes",EPDListTable[[#This Row],[EPD evidence (e.g. URL/link to certificate)]]&lt;&gt;""),VLOOKUP(EPDListTable[[#This Row],[EPD type (see manual)]],EPDPoints,2,FALSE),""),"")</f>
        <v/>
      </c>
    </row>
    <row r="190" spans="2:9" s="113" customFormat="1" x14ac:dyDescent="0.25">
      <c r="B190" s="81"/>
      <c r="C190" s="81"/>
      <c r="D190" s="81"/>
      <c r="E190" s="82"/>
      <c r="F190" s="81"/>
      <c r="G190" s="81"/>
      <c r="H190" s="81"/>
      <c r="I190" s="118" t="str">
        <f>IFERROR(IF(AND(EPDListTable[[#This Row],[Product ID]]&lt;&gt;"",EPDListTable[[#This Row],[Product name / description]]&lt;&gt;"",EPDListTable[[#This Row],[Product type (generic)]]&lt;&gt;"",EPDListTable[[#This Row],[Product classification]]&lt;&gt;"",G190="yes",EPDListTable[[#This Row],[EPD evidence (e.g. URL/link to certificate)]]&lt;&gt;""),VLOOKUP(EPDListTable[[#This Row],[EPD type (see manual)]],EPDPoints,2,FALSE),""),"")</f>
        <v/>
      </c>
    </row>
    <row r="191" spans="2:9" s="113" customFormat="1" x14ac:dyDescent="0.25">
      <c r="B191" s="81"/>
      <c r="C191" s="81"/>
      <c r="D191" s="81"/>
      <c r="E191" s="82"/>
      <c r="F191" s="81"/>
      <c r="G191" s="81"/>
      <c r="H191" s="81"/>
      <c r="I191" s="118" t="str">
        <f>IFERROR(IF(AND(EPDListTable[[#This Row],[Product ID]]&lt;&gt;"",EPDListTable[[#This Row],[Product name / description]]&lt;&gt;"",EPDListTable[[#This Row],[Product type (generic)]]&lt;&gt;"",EPDListTable[[#This Row],[Product classification]]&lt;&gt;"",G191="yes",EPDListTable[[#This Row],[EPD evidence (e.g. URL/link to certificate)]]&lt;&gt;""),VLOOKUP(EPDListTable[[#This Row],[EPD type (see manual)]],EPDPoints,2,FALSE),""),"")</f>
        <v/>
      </c>
    </row>
    <row r="192" spans="2:9" s="113" customFormat="1" x14ac:dyDescent="0.25">
      <c r="B192" s="81"/>
      <c r="C192" s="81"/>
      <c r="D192" s="81"/>
      <c r="E192" s="82"/>
      <c r="F192" s="81"/>
      <c r="G192" s="81"/>
      <c r="H192" s="81"/>
      <c r="I192" s="118" t="str">
        <f>IFERROR(IF(AND(EPDListTable[[#This Row],[Product ID]]&lt;&gt;"",EPDListTable[[#This Row],[Product name / description]]&lt;&gt;"",EPDListTable[[#This Row],[Product type (generic)]]&lt;&gt;"",EPDListTable[[#This Row],[Product classification]]&lt;&gt;"",G192="yes",EPDListTable[[#This Row],[EPD evidence (e.g. URL/link to certificate)]]&lt;&gt;""),VLOOKUP(EPDListTable[[#This Row],[EPD type (see manual)]],EPDPoints,2,FALSE),""),"")</f>
        <v/>
      </c>
    </row>
    <row r="193" spans="2:9" s="113" customFormat="1" x14ac:dyDescent="0.25">
      <c r="B193" s="81"/>
      <c r="C193" s="81"/>
      <c r="D193" s="81"/>
      <c r="E193" s="82"/>
      <c r="F193" s="81"/>
      <c r="G193" s="81"/>
      <c r="H193" s="81"/>
      <c r="I193" s="118" t="str">
        <f>IFERROR(IF(AND(EPDListTable[[#This Row],[Product ID]]&lt;&gt;"",EPDListTable[[#This Row],[Product name / description]]&lt;&gt;"",EPDListTable[[#This Row],[Product type (generic)]]&lt;&gt;"",EPDListTable[[#This Row],[Product classification]]&lt;&gt;"",G193="yes",EPDListTable[[#This Row],[EPD evidence (e.g. URL/link to certificate)]]&lt;&gt;""),VLOOKUP(EPDListTable[[#This Row],[EPD type (see manual)]],EPDPoints,2,FALSE),""),"")</f>
        <v/>
      </c>
    </row>
    <row r="194" spans="2:9" s="113" customFormat="1" x14ac:dyDescent="0.25">
      <c r="B194" s="81"/>
      <c r="C194" s="81"/>
      <c r="D194" s="81"/>
      <c r="E194" s="82"/>
      <c r="F194" s="81"/>
      <c r="G194" s="81"/>
      <c r="H194" s="81"/>
      <c r="I194" s="118" t="str">
        <f>IFERROR(IF(AND(EPDListTable[[#This Row],[Product ID]]&lt;&gt;"",EPDListTable[[#This Row],[Product name / description]]&lt;&gt;"",EPDListTable[[#This Row],[Product type (generic)]]&lt;&gt;"",EPDListTable[[#This Row],[Product classification]]&lt;&gt;"",G194="yes",EPDListTable[[#This Row],[EPD evidence (e.g. URL/link to certificate)]]&lt;&gt;""),VLOOKUP(EPDListTable[[#This Row],[EPD type (see manual)]],EPDPoints,2,FALSE),""),"")</f>
        <v/>
      </c>
    </row>
    <row r="195" spans="2:9" s="113" customFormat="1" x14ac:dyDescent="0.25">
      <c r="B195" s="81"/>
      <c r="C195" s="81"/>
      <c r="D195" s="81"/>
      <c r="E195" s="82"/>
      <c r="F195" s="81"/>
      <c r="G195" s="81"/>
      <c r="H195" s="81"/>
      <c r="I195" s="118" t="str">
        <f>IFERROR(IF(AND(EPDListTable[[#This Row],[Product ID]]&lt;&gt;"",EPDListTable[[#This Row],[Product name / description]]&lt;&gt;"",EPDListTable[[#This Row],[Product type (generic)]]&lt;&gt;"",EPDListTable[[#This Row],[Product classification]]&lt;&gt;"",G195="yes",EPDListTable[[#This Row],[EPD evidence (e.g. URL/link to certificate)]]&lt;&gt;""),VLOOKUP(EPDListTable[[#This Row],[EPD type (see manual)]],EPDPoints,2,FALSE),""),"")</f>
        <v/>
      </c>
    </row>
    <row r="196" spans="2:9" s="113" customFormat="1" x14ac:dyDescent="0.25">
      <c r="B196" s="81"/>
      <c r="C196" s="81"/>
      <c r="D196" s="81"/>
      <c r="E196" s="82"/>
      <c r="F196" s="81"/>
      <c r="G196" s="81"/>
      <c r="H196" s="81"/>
      <c r="I196" s="118" t="str">
        <f>IFERROR(IF(AND(EPDListTable[[#This Row],[Product ID]]&lt;&gt;"",EPDListTable[[#This Row],[Product name / description]]&lt;&gt;"",EPDListTable[[#This Row],[Product type (generic)]]&lt;&gt;"",EPDListTable[[#This Row],[Product classification]]&lt;&gt;"",G196="yes",EPDListTable[[#This Row],[EPD evidence (e.g. URL/link to certificate)]]&lt;&gt;""),VLOOKUP(EPDListTable[[#This Row],[EPD type (see manual)]],EPDPoints,2,FALSE),""),"")</f>
        <v/>
      </c>
    </row>
    <row r="197" spans="2:9" s="113" customFormat="1" x14ac:dyDescent="0.25">
      <c r="B197" s="81"/>
      <c r="C197" s="81"/>
      <c r="D197" s="81"/>
      <c r="E197" s="82"/>
      <c r="F197" s="81"/>
      <c r="G197" s="81"/>
      <c r="H197" s="81"/>
      <c r="I197" s="118" t="str">
        <f>IFERROR(IF(AND(EPDListTable[[#This Row],[Product ID]]&lt;&gt;"",EPDListTable[[#This Row],[Product name / description]]&lt;&gt;"",EPDListTable[[#This Row],[Product type (generic)]]&lt;&gt;"",EPDListTable[[#This Row],[Product classification]]&lt;&gt;"",G197="yes",EPDListTable[[#This Row],[EPD evidence (e.g. URL/link to certificate)]]&lt;&gt;""),VLOOKUP(EPDListTable[[#This Row],[EPD type (see manual)]],EPDPoints,2,FALSE),""),"")</f>
        <v/>
      </c>
    </row>
    <row r="198" spans="2:9" s="113" customFormat="1" x14ac:dyDescent="0.25">
      <c r="B198" s="81"/>
      <c r="C198" s="81"/>
      <c r="D198" s="81"/>
      <c r="E198" s="82"/>
      <c r="F198" s="81"/>
      <c r="G198" s="81"/>
      <c r="H198" s="81"/>
      <c r="I198" s="118" t="str">
        <f>IFERROR(IF(AND(EPDListTable[[#This Row],[Product ID]]&lt;&gt;"",EPDListTable[[#This Row],[Product name / description]]&lt;&gt;"",EPDListTable[[#This Row],[Product type (generic)]]&lt;&gt;"",EPDListTable[[#This Row],[Product classification]]&lt;&gt;"",G198="yes",EPDListTable[[#This Row],[EPD evidence (e.g. URL/link to certificate)]]&lt;&gt;""),VLOOKUP(EPDListTable[[#This Row],[EPD type (see manual)]],EPDPoints,2,FALSE),""),"")</f>
        <v/>
      </c>
    </row>
    <row r="199" spans="2:9" s="113" customFormat="1" x14ac:dyDescent="0.25">
      <c r="B199" s="81"/>
      <c r="C199" s="81"/>
      <c r="D199" s="81"/>
      <c r="E199" s="82"/>
      <c r="F199" s="81"/>
      <c r="G199" s="81"/>
      <c r="H199" s="81"/>
      <c r="I199" s="118" t="str">
        <f>IFERROR(IF(AND(EPDListTable[[#This Row],[Product ID]]&lt;&gt;"",EPDListTable[[#This Row],[Product name / description]]&lt;&gt;"",EPDListTable[[#This Row],[Product type (generic)]]&lt;&gt;"",EPDListTable[[#This Row],[Product classification]]&lt;&gt;"",G199="yes",EPDListTable[[#This Row],[EPD evidence (e.g. URL/link to certificate)]]&lt;&gt;""),VLOOKUP(EPDListTable[[#This Row],[EPD type (see manual)]],EPDPoints,2,FALSE),""),"")</f>
        <v/>
      </c>
    </row>
    <row r="200" spans="2:9" s="113" customFormat="1" x14ac:dyDescent="0.25">
      <c r="B200" s="81"/>
      <c r="C200" s="81"/>
      <c r="D200" s="81"/>
      <c r="E200" s="82"/>
      <c r="F200" s="81"/>
      <c r="G200" s="81"/>
      <c r="H200" s="81"/>
      <c r="I200" s="118" t="str">
        <f>IFERROR(IF(AND(EPDListTable[[#This Row],[Product ID]]&lt;&gt;"",EPDListTable[[#This Row],[Product name / description]]&lt;&gt;"",EPDListTable[[#This Row],[Product type (generic)]]&lt;&gt;"",EPDListTable[[#This Row],[Product classification]]&lt;&gt;"",G200="yes",EPDListTable[[#This Row],[EPD evidence (e.g. URL/link to certificate)]]&lt;&gt;""),VLOOKUP(EPDListTable[[#This Row],[EPD type (see manual)]],EPDPoints,2,FALSE),""),"")</f>
        <v/>
      </c>
    </row>
    <row r="201" spans="2:9" s="113" customFormat="1" x14ac:dyDescent="0.25">
      <c r="B201" s="81"/>
      <c r="C201" s="81"/>
      <c r="D201" s="81"/>
      <c r="E201" s="82"/>
      <c r="F201" s="81"/>
      <c r="G201" s="81"/>
      <c r="H201" s="81"/>
      <c r="I201" s="118" t="str">
        <f>IFERROR(IF(AND(EPDListTable[[#This Row],[Product ID]]&lt;&gt;"",EPDListTable[[#This Row],[Product name / description]]&lt;&gt;"",EPDListTable[[#This Row],[Product type (generic)]]&lt;&gt;"",EPDListTable[[#This Row],[Product classification]]&lt;&gt;"",G201="yes",EPDListTable[[#This Row],[EPD evidence (e.g. URL/link to certificate)]]&lt;&gt;""),VLOOKUP(EPDListTable[[#This Row],[EPD type (see manual)]],EPDPoints,2,FALSE),""),"")</f>
        <v/>
      </c>
    </row>
    <row r="202" spans="2:9" s="113" customFormat="1" x14ac:dyDescent="0.25">
      <c r="B202" s="81"/>
      <c r="C202" s="81"/>
      <c r="D202" s="81"/>
      <c r="E202" s="82"/>
      <c r="F202" s="81"/>
      <c r="G202" s="81"/>
      <c r="H202" s="81"/>
      <c r="I202" s="118" t="str">
        <f>IFERROR(IF(AND(EPDListTable[[#This Row],[Product ID]]&lt;&gt;"",EPDListTable[[#This Row],[Product name / description]]&lt;&gt;"",EPDListTable[[#This Row],[Product type (generic)]]&lt;&gt;"",EPDListTable[[#This Row],[Product classification]]&lt;&gt;"",G202="yes",EPDListTable[[#This Row],[EPD evidence (e.g. URL/link to certificate)]]&lt;&gt;""),VLOOKUP(EPDListTable[[#This Row],[EPD type (see manual)]],EPDPoints,2,FALSE),""),"")</f>
        <v/>
      </c>
    </row>
    <row r="203" spans="2:9" s="113" customFormat="1" x14ac:dyDescent="0.25">
      <c r="B203" s="81"/>
      <c r="C203" s="81"/>
      <c r="D203" s="81"/>
      <c r="E203" s="82"/>
      <c r="F203" s="81"/>
      <c r="G203" s="81"/>
      <c r="H203" s="81"/>
      <c r="I203" s="118" t="str">
        <f>IFERROR(IF(AND(EPDListTable[[#This Row],[Product ID]]&lt;&gt;"",EPDListTable[[#This Row],[Product name / description]]&lt;&gt;"",EPDListTable[[#This Row],[Product type (generic)]]&lt;&gt;"",EPDListTable[[#This Row],[Product classification]]&lt;&gt;"",G203="yes",EPDListTable[[#This Row],[EPD evidence (e.g. URL/link to certificate)]]&lt;&gt;""),VLOOKUP(EPDListTable[[#This Row],[EPD type (see manual)]],EPDPoints,2,FALSE),""),"")</f>
        <v/>
      </c>
    </row>
    <row r="204" spans="2:9" s="113" customFormat="1" x14ac:dyDescent="0.25">
      <c r="B204" s="81"/>
      <c r="C204" s="81"/>
      <c r="D204" s="81"/>
      <c r="E204" s="82"/>
      <c r="F204" s="81"/>
      <c r="G204" s="81"/>
      <c r="H204" s="81"/>
      <c r="I204" s="118" t="str">
        <f>IFERROR(IF(AND(EPDListTable[[#This Row],[Product ID]]&lt;&gt;"",EPDListTable[[#This Row],[Product name / description]]&lt;&gt;"",EPDListTable[[#This Row],[Product type (generic)]]&lt;&gt;"",EPDListTable[[#This Row],[Product classification]]&lt;&gt;"",G204="yes",EPDListTable[[#This Row],[EPD evidence (e.g. URL/link to certificate)]]&lt;&gt;""),VLOOKUP(EPDListTable[[#This Row],[EPD type (see manual)]],EPDPoints,2,FALSE),""),"")</f>
        <v/>
      </c>
    </row>
    <row r="205" spans="2:9" s="113" customFormat="1" x14ac:dyDescent="0.25">
      <c r="B205" s="81"/>
      <c r="C205" s="81"/>
      <c r="D205" s="81"/>
      <c r="E205" s="82"/>
      <c r="F205" s="81"/>
      <c r="G205" s="81"/>
      <c r="H205" s="81"/>
      <c r="I205" s="118" t="str">
        <f>IFERROR(IF(AND(EPDListTable[[#This Row],[Product ID]]&lt;&gt;"",EPDListTable[[#This Row],[Product name / description]]&lt;&gt;"",EPDListTable[[#This Row],[Product type (generic)]]&lt;&gt;"",EPDListTable[[#This Row],[Product classification]]&lt;&gt;"",G205="yes",EPDListTable[[#This Row],[EPD evidence (e.g. URL/link to certificate)]]&lt;&gt;""),VLOOKUP(EPDListTable[[#This Row],[EPD type (see manual)]],EPDPoints,2,FALSE),""),"")</f>
        <v/>
      </c>
    </row>
    <row r="206" spans="2:9" s="113" customFormat="1" x14ac:dyDescent="0.25">
      <c r="B206" s="81"/>
      <c r="C206" s="81"/>
      <c r="D206" s="81"/>
      <c r="E206" s="82"/>
      <c r="F206" s="81"/>
      <c r="G206" s="81"/>
      <c r="H206" s="81"/>
      <c r="I206" s="118" t="str">
        <f>IFERROR(IF(AND(EPDListTable[[#This Row],[Product ID]]&lt;&gt;"",EPDListTable[[#This Row],[Product name / description]]&lt;&gt;"",EPDListTable[[#This Row],[Product type (generic)]]&lt;&gt;"",EPDListTable[[#This Row],[Product classification]]&lt;&gt;"",G206="yes",EPDListTable[[#This Row],[EPD evidence (e.g. URL/link to certificate)]]&lt;&gt;""),VLOOKUP(EPDListTable[[#This Row],[EPD type (see manual)]],EPDPoints,2,FALSE),""),"")</f>
        <v/>
      </c>
    </row>
    <row r="207" spans="2:9" s="113" customFormat="1" x14ac:dyDescent="0.25">
      <c r="B207" s="81"/>
      <c r="C207" s="81"/>
      <c r="D207" s="81"/>
      <c r="E207" s="82"/>
      <c r="F207" s="81"/>
      <c r="G207" s="81"/>
      <c r="H207" s="81"/>
      <c r="I207" s="118" t="str">
        <f>IFERROR(IF(AND(EPDListTable[[#This Row],[Product ID]]&lt;&gt;"",EPDListTable[[#This Row],[Product name / description]]&lt;&gt;"",EPDListTable[[#This Row],[Product type (generic)]]&lt;&gt;"",EPDListTable[[#This Row],[Product classification]]&lt;&gt;"",G207="yes",EPDListTable[[#This Row],[EPD evidence (e.g. URL/link to certificate)]]&lt;&gt;""),VLOOKUP(EPDListTable[[#This Row],[EPD type (see manual)]],EPDPoints,2,FALSE),""),"")</f>
        <v/>
      </c>
    </row>
    <row r="208" spans="2:9" s="113" customFormat="1" x14ac:dyDescent="0.25">
      <c r="B208" s="81"/>
      <c r="C208" s="81"/>
      <c r="D208" s="81"/>
      <c r="E208" s="82"/>
      <c r="F208" s="81"/>
      <c r="G208" s="81"/>
      <c r="H208" s="81"/>
      <c r="I208" s="118" t="str">
        <f>IFERROR(IF(AND(EPDListTable[[#This Row],[Product ID]]&lt;&gt;"",EPDListTable[[#This Row],[Product name / description]]&lt;&gt;"",EPDListTable[[#This Row],[Product type (generic)]]&lt;&gt;"",EPDListTable[[#This Row],[Product classification]]&lt;&gt;"",G208="yes",EPDListTable[[#This Row],[EPD evidence (e.g. URL/link to certificate)]]&lt;&gt;""),VLOOKUP(EPDListTable[[#This Row],[EPD type (see manual)]],EPDPoints,2,FALSE),""),"")</f>
        <v/>
      </c>
    </row>
    <row r="209" spans="2:9" s="113" customFormat="1" x14ac:dyDescent="0.25">
      <c r="B209" s="81"/>
      <c r="C209" s="81"/>
      <c r="D209" s="81"/>
      <c r="E209" s="82"/>
      <c r="F209" s="81"/>
      <c r="G209" s="81"/>
      <c r="H209" s="81"/>
      <c r="I209" s="118" t="str">
        <f>IFERROR(IF(AND(EPDListTable[[#This Row],[Product ID]]&lt;&gt;"",EPDListTable[[#This Row],[Product name / description]]&lt;&gt;"",EPDListTable[[#This Row],[Product type (generic)]]&lt;&gt;"",EPDListTable[[#This Row],[Product classification]]&lt;&gt;"",G209="yes",EPDListTable[[#This Row],[EPD evidence (e.g. URL/link to certificate)]]&lt;&gt;""),VLOOKUP(EPDListTable[[#This Row],[EPD type (see manual)]],EPDPoints,2,FALSE),""),"")</f>
        <v/>
      </c>
    </row>
    <row r="210" spans="2:9" s="113" customFormat="1" x14ac:dyDescent="0.25">
      <c r="B210" s="81"/>
      <c r="C210" s="81"/>
      <c r="D210" s="81"/>
      <c r="E210" s="82"/>
      <c r="F210" s="81"/>
      <c r="G210" s="81"/>
      <c r="H210" s="81"/>
      <c r="I210" s="118" t="str">
        <f>IFERROR(IF(AND(EPDListTable[[#This Row],[Product ID]]&lt;&gt;"",EPDListTable[[#This Row],[Product name / description]]&lt;&gt;"",EPDListTable[[#This Row],[Product type (generic)]]&lt;&gt;"",EPDListTable[[#This Row],[Product classification]]&lt;&gt;"",G210="yes",EPDListTable[[#This Row],[EPD evidence (e.g. URL/link to certificate)]]&lt;&gt;""),VLOOKUP(EPDListTable[[#This Row],[EPD type (see manual)]],EPDPoints,2,FALSE),""),"")</f>
        <v/>
      </c>
    </row>
    <row r="211" spans="2:9" s="113" customFormat="1" x14ac:dyDescent="0.25">
      <c r="B211" s="81"/>
      <c r="C211" s="81"/>
      <c r="D211" s="81"/>
      <c r="E211" s="82"/>
      <c r="F211" s="81"/>
      <c r="G211" s="81"/>
      <c r="H211" s="81"/>
      <c r="I211" s="118" t="str">
        <f>IFERROR(IF(AND(EPDListTable[[#This Row],[Product ID]]&lt;&gt;"",EPDListTable[[#This Row],[Product name / description]]&lt;&gt;"",EPDListTable[[#This Row],[Product type (generic)]]&lt;&gt;"",EPDListTable[[#This Row],[Product classification]]&lt;&gt;"",G211="yes",EPDListTable[[#This Row],[EPD evidence (e.g. URL/link to certificate)]]&lt;&gt;""),VLOOKUP(EPDListTable[[#This Row],[EPD type (see manual)]],EPDPoints,2,FALSE),""),"")</f>
        <v/>
      </c>
    </row>
    <row r="212" spans="2:9" s="113" customFormat="1" x14ac:dyDescent="0.25">
      <c r="B212" s="81"/>
      <c r="C212" s="81"/>
      <c r="D212" s="81"/>
      <c r="E212" s="82"/>
      <c r="F212" s="81"/>
      <c r="G212" s="81"/>
      <c r="H212" s="81"/>
      <c r="I212" s="118" t="str">
        <f>IFERROR(IF(AND(EPDListTable[[#This Row],[Product ID]]&lt;&gt;"",EPDListTable[[#This Row],[Product name / description]]&lt;&gt;"",EPDListTable[[#This Row],[Product type (generic)]]&lt;&gt;"",EPDListTable[[#This Row],[Product classification]]&lt;&gt;"",G212="yes",EPDListTable[[#This Row],[EPD evidence (e.g. URL/link to certificate)]]&lt;&gt;""),VLOOKUP(EPDListTable[[#This Row],[EPD type (see manual)]],EPDPoints,2,FALSE),""),"")</f>
        <v/>
      </c>
    </row>
    <row r="213" spans="2:9" s="113" customFormat="1" x14ac:dyDescent="0.25">
      <c r="B213" s="81"/>
      <c r="C213" s="81"/>
      <c r="D213" s="81"/>
      <c r="E213" s="82"/>
      <c r="F213" s="81"/>
      <c r="G213" s="81"/>
      <c r="H213" s="81"/>
      <c r="I213" s="118" t="str">
        <f>IFERROR(IF(AND(EPDListTable[[#This Row],[Product ID]]&lt;&gt;"",EPDListTable[[#This Row],[Product name / description]]&lt;&gt;"",EPDListTable[[#This Row],[Product type (generic)]]&lt;&gt;"",EPDListTable[[#This Row],[Product classification]]&lt;&gt;"",G213="yes",EPDListTable[[#This Row],[EPD evidence (e.g. URL/link to certificate)]]&lt;&gt;""),VLOOKUP(EPDListTable[[#This Row],[EPD type (see manual)]],EPDPoints,2,FALSE),""),"")</f>
        <v/>
      </c>
    </row>
    <row r="214" spans="2:9" s="113" customFormat="1" x14ac:dyDescent="0.25">
      <c r="B214" s="81"/>
      <c r="C214" s="81"/>
      <c r="D214" s="81"/>
      <c r="E214" s="82"/>
      <c r="F214" s="81"/>
      <c r="G214" s="81"/>
      <c r="H214" s="81"/>
      <c r="I214" s="118" t="str">
        <f>IFERROR(IF(AND(EPDListTable[[#This Row],[Product ID]]&lt;&gt;"",EPDListTable[[#This Row],[Product name / description]]&lt;&gt;"",EPDListTable[[#This Row],[Product type (generic)]]&lt;&gt;"",EPDListTable[[#This Row],[Product classification]]&lt;&gt;"",G214="yes",EPDListTable[[#This Row],[EPD evidence (e.g. URL/link to certificate)]]&lt;&gt;""),VLOOKUP(EPDListTable[[#This Row],[EPD type (see manual)]],EPDPoints,2,FALSE),""),"")</f>
        <v/>
      </c>
    </row>
    <row r="215" spans="2:9" s="113" customFormat="1" x14ac:dyDescent="0.25">
      <c r="B215" s="81"/>
      <c r="C215" s="81"/>
      <c r="D215" s="81"/>
      <c r="E215" s="82"/>
      <c r="F215" s="81"/>
      <c r="G215" s="81"/>
      <c r="H215" s="81"/>
      <c r="I215" s="118" t="str">
        <f>IFERROR(IF(AND(EPDListTable[[#This Row],[Product ID]]&lt;&gt;"",EPDListTable[[#This Row],[Product name / description]]&lt;&gt;"",EPDListTable[[#This Row],[Product type (generic)]]&lt;&gt;"",EPDListTable[[#This Row],[Product classification]]&lt;&gt;"",G215="yes",EPDListTable[[#This Row],[EPD evidence (e.g. URL/link to certificate)]]&lt;&gt;""),VLOOKUP(EPDListTable[[#This Row],[EPD type (see manual)]],EPDPoints,2,FALSE),""),"")</f>
        <v/>
      </c>
    </row>
    <row r="216" spans="2:9" s="113" customFormat="1" x14ac:dyDescent="0.25">
      <c r="B216" s="81"/>
      <c r="C216" s="81"/>
      <c r="D216" s="81"/>
      <c r="E216" s="82"/>
      <c r="F216" s="81"/>
      <c r="G216" s="81"/>
      <c r="H216" s="81"/>
      <c r="I216" s="118" t="str">
        <f>IFERROR(IF(AND(EPDListTable[[#This Row],[Product ID]]&lt;&gt;"",EPDListTable[[#This Row],[Product name / description]]&lt;&gt;"",EPDListTable[[#This Row],[Product type (generic)]]&lt;&gt;"",EPDListTable[[#This Row],[Product classification]]&lt;&gt;"",G216="yes",EPDListTable[[#This Row],[EPD evidence (e.g. URL/link to certificate)]]&lt;&gt;""),VLOOKUP(EPDListTable[[#This Row],[EPD type (see manual)]],EPDPoints,2,FALSE),""),"")</f>
        <v/>
      </c>
    </row>
    <row r="217" spans="2:9" s="113" customFormat="1" x14ac:dyDescent="0.25">
      <c r="B217" s="81"/>
      <c r="C217" s="81"/>
      <c r="D217" s="81"/>
      <c r="E217" s="82"/>
      <c r="F217" s="81"/>
      <c r="G217" s="81"/>
      <c r="H217" s="81"/>
      <c r="I217" s="118" t="str">
        <f>IFERROR(IF(AND(EPDListTable[[#This Row],[Product ID]]&lt;&gt;"",EPDListTable[[#This Row],[Product name / description]]&lt;&gt;"",EPDListTable[[#This Row],[Product type (generic)]]&lt;&gt;"",EPDListTable[[#This Row],[Product classification]]&lt;&gt;"",G217="yes",EPDListTable[[#This Row],[EPD evidence (e.g. URL/link to certificate)]]&lt;&gt;""),VLOOKUP(EPDListTable[[#This Row],[EPD type (see manual)]],EPDPoints,2,FALSE),""),"")</f>
        <v/>
      </c>
    </row>
    <row r="218" spans="2:9" s="113" customFormat="1" x14ac:dyDescent="0.25">
      <c r="B218" s="81"/>
      <c r="C218" s="81"/>
      <c r="D218" s="81"/>
      <c r="E218" s="82"/>
      <c r="F218" s="81"/>
      <c r="G218" s="81"/>
      <c r="H218" s="81"/>
      <c r="I218" s="118" t="str">
        <f>IFERROR(IF(AND(EPDListTable[[#This Row],[Product ID]]&lt;&gt;"",EPDListTable[[#This Row],[Product name / description]]&lt;&gt;"",EPDListTable[[#This Row],[Product type (generic)]]&lt;&gt;"",EPDListTable[[#This Row],[Product classification]]&lt;&gt;"",G218="yes",EPDListTable[[#This Row],[EPD evidence (e.g. URL/link to certificate)]]&lt;&gt;""),VLOOKUP(EPDListTable[[#This Row],[EPD type (see manual)]],EPDPoints,2,FALSE),""),"")</f>
        <v/>
      </c>
    </row>
    <row r="219" spans="2:9" s="113" customFormat="1" x14ac:dyDescent="0.25">
      <c r="B219" s="81"/>
      <c r="C219" s="81"/>
      <c r="D219" s="81"/>
      <c r="E219" s="82"/>
      <c r="F219" s="81"/>
      <c r="G219" s="81"/>
      <c r="H219" s="81"/>
      <c r="I219" s="118" t="str">
        <f>IFERROR(IF(AND(EPDListTable[[#This Row],[Product ID]]&lt;&gt;"",EPDListTable[[#This Row],[Product name / description]]&lt;&gt;"",EPDListTable[[#This Row],[Product type (generic)]]&lt;&gt;"",EPDListTable[[#This Row],[Product classification]]&lt;&gt;"",G219="yes",EPDListTable[[#This Row],[EPD evidence (e.g. URL/link to certificate)]]&lt;&gt;""),VLOOKUP(EPDListTable[[#This Row],[EPD type (see manual)]],EPDPoints,2,FALSE),""),"")</f>
        <v/>
      </c>
    </row>
    <row r="220" spans="2:9" s="113" customFormat="1" x14ac:dyDescent="0.25">
      <c r="B220" s="81"/>
      <c r="C220" s="81"/>
      <c r="D220" s="81"/>
      <c r="E220" s="82"/>
      <c r="F220" s="81"/>
      <c r="G220" s="81"/>
      <c r="H220" s="81"/>
      <c r="I220" s="118" t="str">
        <f>IFERROR(IF(AND(EPDListTable[[#This Row],[Product ID]]&lt;&gt;"",EPDListTable[[#This Row],[Product name / description]]&lt;&gt;"",EPDListTable[[#This Row],[Product type (generic)]]&lt;&gt;"",EPDListTable[[#This Row],[Product classification]]&lt;&gt;"",G220="yes",EPDListTable[[#This Row],[EPD evidence (e.g. URL/link to certificate)]]&lt;&gt;""),VLOOKUP(EPDListTable[[#This Row],[EPD type (see manual)]],EPDPoints,2,FALSE),""),"")</f>
        <v/>
      </c>
    </row>
    <row r="221" spans="2:9" s="113" customFormat="1" x14ac:dyDescent="0.25">
      <c r="B221" s="81"/>
      <c r="C221" s="81"/>
      <c r="D221" s="81"/>
      <c r="E221" s="82"/>
      <c r="F221" s="81"/>
      <c r="G221" s="81"/>
      <c r="H221" s="81"/>
      <c r="I221" s="118" t="str">
        <f>IFERROR(IF(AND(EPDListTable[[#This Row],[Product ID]]&lt;&gt;"",EPDListTable[[#This Row],[Product name / description]]&lt;&gt;"",EPDListTable[[#This Row],[Product type (generic)]]&lt;&gt;"",EPDListTable[[#This Row],[Product classification]]&lt;&gt;"",G221="yes",EPDListTable[[#This Row],[EPD evidence (e.g. URL/link to certificate)]]&lt;&gt;""),VLOOKUP(EPDListTable[[#This Row],[EPD type (see manual)]],EPDPoints,2,FALSE),""),"")</f>
        <v/>
      </c>
    </row>
    <row r="222" spans="2:9" s="113" customFormat="1" x14ac:dyDescent="0.25">
      <c r="B222" s="81"/>
      <c r="C222" s="81"/>
      <c r="D222" s="81"/>
      <c r="E222" s="82"/>
      <c r="F222" s="81"/>
      <c r="G222" s="81"/>
      <c r="H222" s="81"/>
      <c r="I222" s="118" t="str">
        <f>IFERROR(IF(AND(EPDListTable[[#This Row],[Product ID]]&lt;&gt;"",EPDListTable[[#This Row],[Product name / description]]&lt;&gt;"",EPDListTable[[#This Row],[Product type (generic)]]&lt;&gt;"",EPDListTable[[#This Row],[Product classification]]&lt;&gt;"",G222="yes",EPDListTable[[#This Row],[EPD evidence (e.g. URL/link to certificate)]]&lt;&gt;""),VLOOKUP(EPDListTable[[#This Row],[EPD type (see manual)]],EPDPoints,2,FALSE),""),"")</f>
        <v/>
      </c>
    </row>
    <row r="223" spans="2:9" s="113" customFormat="1" x14ac:dyDescent="0.25">
      <c r="B223" s="81"/>
      <c r="C223" s="81"/>
      <c r="D223" s="81"/>
      <c r="E223" s="82"/>
      <c r="F223" s="81"/>
      <c r="G223" s="81"/>
      <c r="H223" s="81"/>
      <c r="I223" s="118" t="str">
        <f>IFERROR(IF(AND(EPDListTable[[#This Row],[Product ID]]&lt;&gt;"",EPDListTable[[#This Row],[Product name / description]]&lt;&gt;"",EPDListTable[[#This Row],[Product type (generic)]]&lt;&gt;"",EPDListTable[[#This Row],[Product classification]]&lt;&gt;"",G223="yes",EPDListTable[[#This Row],[EPD evidence (e.g. URL/link to certificate)]]&lt;&gt;""),VLOOKUP(EPDListTable[[#This Row],[EPD type (see manual)]],EPDPoints,2,FALSE),""),"")</f>
        <v/>
      </c>
    </row>
    <row r="224" spans="2:9" s="113" customFormat="1" x14ac:dyDescent="0.25">
      <c r="B224" s="81"/>
      <c r="C224" s="81"/>
      <c r="D224" s="81"/>
      <c r="E224" s="82"/>
      <c r="F224" s="81"/>
      <c r="G224" s="81"/>
      <c r="H224" s="81"/>
      <c r="I224" s="118" t="str">
        <f>IFERROR(IF(AND(EPDListTable[[#This Row],[Product ID]]&lt;&gt;"",EPDListTable[[#This Row],[Product name / description]]&lt;&gt;"",EPDListTable[[#This Row],[Product type (generic)]]&lt;&gt;"",EPDListTable[[#This Row],[Product classification]]&lt;&gt;"",G224="yes",EPDListTable[[#This Row],[EPD evidence (e.g. URL/link to certificate)]]&lt;&gt;""),VLOOKUP(EPDListTable[[#This Row],[EPD type (see manual)]],EPDPoints,2,FALSE),""),"")</f>
        <v/>
      </c>
    </row>
    <row r="225" spans="2:9" s="113" customFormat="1" x14ac:dyDescent="0.25">
      <c r="B225" s="81"/>
      <c r="C225" s="81"/>
      <c r="D225" s="81"/>
      <c r="E225" s="82"/>
      <c r="F225" s="81"/>
      <c r="G225" s="81"/>
      <c r="H225" s="81"/>
      <c r="I225" s="118" t="str">
        <f>IFERROR(IF(AND(EPDListTable[[#This Row],[Product ID]]&lt;&gt;"",EPDListTable[[#This Row],[Product name / description]]&lt;&gt;"",EPDListTable[[#This Row],[Product type (generic)]]&lt;&gt;"",EPDListTable[[#This Row],[Product classification]]&lt;&gt;"",G225="yes",EPDListTable[[#This Row],[EPD evidence (e.g. URL/link to certificate)]]&lt;&gt;""),VLOOKUP(EPDListTable[[#This Row],[EPD type (see manual)]],EPDPoints,2,FALSE),""),"")</f>
        <v/>
      </c>
    </row>
    <row r="226" spans="2:9" s="113" customFormat="1" x14ac:dyDescent="0.25">
      <c r="B226" s="81"/>
      <c r="C226" s="81"/>
      <c r="D226" s="81"/>
      <c r="E226" s="82"/>
      <c r="F226" s="81"/>
      <c r="G226" s="81"/>
      <c r="H226" s="81"/>
      <c r="I226" s="118" t="str">
        <f>IFERROR(IF(AND(EPDListTable[[#This Row],[Product ID]]&lt;&gt;"",EPDListTable[[#This Row],[Product name / description]]&lt;&gt;"",EPDListTable[[#This Row],[Product type (generic)]]&lt;&gt;"",EPDListTable[[#This Row],[Product classification]]&lt;&gt;"",G226="yes",EPDListTable[[#This Row],[EPD evidence (e.g. URL/link to certificate)]]&lt;&gt;""),VLOOKUP(EPDListTable[[#This Row],[EPD type (see manual)]],EPDPoints,2,FALSE),""),"")</f>
        <v/>
      </c>
    </row>
    <row r="227" spans="2:9" s="113" customFormat="1" x14ac:dyDescent="0.25">
      <c r="B227" s="81"/>
      <c r="C227" s="81"/>
      <c r="D227" s="81"/>
      <c r="E227" s="82"/>
      <c r="F227" s="81"/>
      <c r="G227" s="81"/>
      <c r="H227" s="81"/>
      <c r="I227" s="118" t="str">
        <f>IFERROR(IF(AND(EPDListTable[[#This Row],[Product ID]]&lt;&gt;"",EPDListTable[[#This Row],[Product name / description]]&lt;&gt;"",EPDListTable[[#This Row],[Product type (generic)]]&lt;&gt;"",EPDListTable[[#This Row],[Product classification]]&lt;&gt;"",G227="yes",EPDListTable[[#This Row],[EPD evidence (e.g. URL/link to certificate)]]&lt;&gt;""),VLOOKUP(EPDListTable[[#This Row],[EPD type (see manual)]],EPDPoints,2,FALSE),""),"")</f>
        <v/>
      </c>
    </row>
    <row r="228" spans="2:9" s="113" customFormat="1" x14ac:dyDescent="0.25">
      <c r="B228" s="81"/>
      <c r="C228" s="81"/>
      <c r="D228" s="81"/>
      <c r="E228" s="82"/>
      <c r="F228" s="81"/>
      <c r="G228" s="81"/>
      <c r="H228" s="81"/>
      <c r="I228" s="118" t="str">
        <f>IFERROR(IF(AND(EPDListTable[[#This Row],[Product ID]]&lt;&gt;"",EPDListTable[[#This Row],[Product name / description]]&lt;&gt;"",EPDListTable[[#This Row],[Product type (generic)]]&lt;&gt;"",EPDListTable[[#This Row],[Product classification]]&lt;&gt;"",G228="yes",EPDListTable[[#This Row],[EPD evidence (e.g. URL/link to certificate)]]&lt;&gt;""),VLOOKUP(EPDListTable[[#This Row],[EPD type (see manual)]],EPDPoints,2,FALSE),""),"")</f>
        <v/>
      </c>
    </row>
    <row r="229" spans="2:9" s="113" customFormat="1" x14ac:dyDescent="0.25">
      <c r="B229" s="81"/>
      <c r="C229" s="81"/>
      <c r="D229" s="81"/>
      <c r="E229" s="82"/>
      <c r="F229" s="81"/>
      <c r="G229" s="81"/>
      <c r="H229" s="81"/>
      <c r="I229" s="118" t="str">
        <f>IFERROR(IF(AND(EPDListTable[[#This Row],[Product ID]]&lt;&gt;"",EPDListTable[[#This Row],[Product name / description]]&lt;&gt;"",EPDListTable[[#This Row],[Product type (generic)]]&lt;&gt;"",EPDListTable[[#This Row],[Product classification]]&lt;&gt;"",G229="yes",EPDListTable[[#This Row],[EPD evidence (e.g. URL/link to certificate)]]&lt;&gt;""),VLOOKUP(EPDListTable[[#This Row],[EPD type (see manual)]],EPDPoints,2,FALSE),""),"")</f>
        <v/>
      </c>
    </row>
    <row r="230" spans="2:9" x14ac:dyDescent="0.25"/>
    <row r="231" spans="2:9" x14ac:dyDescent="0.25"/>
    <row r="232" spans="2:9" x14ac:dyDescent="0.25"/>
  </sheetData>
  <sheetProtection algorithmName="SHA-512" hashValue="LqLZKJAh/vRWXkVMj2hiiowPicfQ2YVgyIJokbtLC12KynLFcTAvkWvFbpkVKHPc++hmGK6k82m8B9xPNaiUvA==" saltValue="dIr+/8RTJ0LUKg7cJfklaQ==" spinCount="100000" sheet="1" autoFilter="0"/>
  <mergeCells count="2">
    <mergeCell ref="B27:E27"/>
    <mergeCell ref="K1:Q1"/>
  </mergeCells>
  <dataValidations count="3">
    <dataValidation type="list" showInputMessage="1" showErrorMessage="1" sqref="F29:F229" xr:uid="{00000000-0002-0000-0200-000000000000}">
      <formula1>EPD</formula1>
    </dataValidation>
    <dataValidation type="list" allowBlank="1" showInputMessage="1" showErrorMessage="1" sqref="E29:E88" xr:uid="{00000000-0002-0000-0200-000001000000}">
      <formula1>ProductCat</formula1>
    </dataValidation>
    <dataValidation type="list" allowBlank="1" showInputMessage="1" showErrorMessage="1" sqref="G29:G229" xr:uid="{00000000-0002-0000-0200-000002000000}">
      <formula1>"Yes,No"</formula1>
    </dataValidation>
  </dataValidations>
  <hyperlinks>
    <hyperlink ref="B3" location="MAT01_ConceptDesign!A1" display="Return to Concept Design Sheet" xr:uid="{00000000-0004-0000-0200-000000000000}"/>
    <hyperlink ref="C3" location="MAT01_TechnicalDesign!A1" display="Return to Concept Design Sheet" xr:uid="{00000000-0004-0000-0200-000001000000}"/>
  </hyperlinks>
  <pageMargins left="0.7" right="0.7" top="0.75" bottom="0.75" header="0.3" footer="0.3"/>
  <pageSetup paperSize="9"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2:AL103"/>
  <sheetViews>
    <sheetView showGridLines="0" zoomScale="70" zoomScaleNormal="70" workbookViewId="0"/>
  </sheetViews>
  <sheetFormatPr defaultColWidth="0" defaultRowHeight="15" x14ac:dyDescent="0.25"/>
  <cols>
    <col min="1" max="38" width="8.85546875" customWidth="1"/>
    <col min="39" max="16384" width="8.85546875" hidden="1"/>
  </cols>
  <sheetData>
    <row r="12" spans="2:36" ht="14.45" customHeight="1" x14ac:dyDescent="0.25">
      <c r="B12" s="412" t="s">
        <v>278</v>
      </c>
      <c r="C12" s="412"/>
      <c r="D12" s="412"/>
      <c r="E12" s="412"/>
      <c r="F12" s="412"/>
      <c r="G12" s="412"/>
      <c r="H12" s="412"/>
      <c r="I12" s="412"/>
      <c r="J12" s="412"/>
      <c r="K12" s="412"/>
      <c r="L12" s="412"/>
      <c r="M12" s="412"/>
      <c r="N12" s="412"/>
      <c r="O12" s="140"/>
      <c r="P12" s="412" t="s">
        <v>279</v>
      </c>
      <c r="Q12" s="412"/>
      <c r="R12" s="412"/>
      <c r="S12" s="412"/>
      <c r="T12" s="412"/>
      <c r="U12" s="412"/>
      <c r="V12" s="412"/>
      <c r="W12" s="412"/>
      <c r="X12" s="412"/>
      <c r="Y12" s="412"/>
      <c r="Z12" s="412"/>
      <c r="AA12" s="412"/>
      <c r="AB12" s="412"/>
      <c r="AC12" s="140"/>
      <c r="AD12" s="140"/>
      <c r="AE12" s="140"/>
      <c r="AF12" s="140"/>
      <c r="AG12" s="140"/>
      <c r="AH12" s="140"/>
      <c r="AI12" s="140"/>
      <c r="AJ12" s="140"/>
    </row>
    <row r="13" spans="2:36" x14ac:dyDescent="0.25">
      <c r="B13" s="412"/>
      <c r="C13" s="412"/>
      <c r="D13" s="412"/>
      <c r="E13" s="412"/>
      <c r="F13" s="412"/>
      <c r="G13" s="412"/>
      <c r="H13" s="412"/>
      <c r="I13" s="412"/>
      <c r="J13" s="412"/>
      <c r="K13" s="412"/>
      <c r="L13" s="412"/>
      <c r="M13" s="412"/>
      <c r="N13" s="412"/>
      <c r="O13" s="140"/>
      <c r="P13" s="412"/>
      <c r="Q13" s="412"/>
      <c r="R13" s="412"/>
      <c r="S13" s="412"/>
      <c r="T13" s="412"/>
      <c r="U13" s="412"/>
      <c r="V13" s="412"/>
      <c r="W13" s="412"/>
      <c r="X13" s="412"/>
      <c r="Y13" s="412"/>
      <c r="Z13" s="412"/>
      <c r="AA13" s="412"/>
      <c r="AB13" s="412"/>
      <c r="AC13" s="140"/>
      <c r="AD13" s="140"/>
      <c r="AE13" s="140"/>
      <c r="AF13" s="140"/>
      <c r="AG13" s="140"/>
      <c r="AH13" s="140"/>
      <c r="AI13" s="140"/>
      <c r="AJ13" s="140"/>
    </row>
    <row r="14" spans="2:36" x14ac:dyDescent="0.25">
      <c r="B14" s="412"/>
      <c r="C14" s="412"/>
      <c r="D14" s="412"/>
      <c r="E14" s="412"/>
      <c r="F14" s="412"/>
      <c r="G14" s="412"/>
      <c r="H14" s="412"/>
      <c r="I14" s="412"/>
      <c r="J14" s="412"/>
      <c r="K14" s="412"/>
      <c r="L14" s="412"/>
      <c r="M14" s="412"/>
      <c r="N14" s="412"/>
      <c r="O14" s="140"/>
      <c r="P14" s="412"/>
      <c r="Q14" s="412"/>
      <c r="R14" s="412"/>
      <c r="S14" s="412"/>
      <c r="T14" s="412"/>
      <c r="U14" s="412"/>
      <c r="V14" s="412"/>
      <c r="W14" s="412"/>
      <c r="X14" s="412"/>
      <c r="Y14" s="412"/>
      <c r="Z14" s="412"/>
      <c r="AA14" s="412"/>
      <c r="AB14" s="412"/>
      <c r="AC14" s="140"/>
      <c r="AD14" s="140"/>
      <c r="AE14" s="140"/>
      <c r="AF14" s="140"/>
      <c r="AG14" s="140"/>
      <c r="AH14" s="140"/>
      <c r="AI14" s="140"/>
      <c r="AJ14" s="140"/>
    </row>
    <row r="15" spans="2:36" x14ac:dyDescent="0.25">
      <c r="B15" s="412"/>
      <c r="C15" s="412"/>
      <c r="D15" s="412"/>
      <c r="E15" s="412"/>
      <c r="F15" s="412"/>
      <c r="G15" s="412"/>
      <c r="H15" s="412"/>
      <c r="I15" s="412"/>
      <c r="J15" s="412"/>
      <c r="K15" s="412"/>
      <c r="L15" s="412"/>
      <c r="M15" s="412"/>
      <c r="N15" s="412"/>
      <c r="O15" s="140"/>
      <c r="P15" s="412"/>
      <c r="Q15" s="412"/>
      <c r="R15" s="412"/>
      <c r="S15" s="412"/>
      <c r="T15" s="412"/>
      <c r="U15" s="412"/>
      <c r="V15" s="412"/>
      <c r="W15" s="412"/>
      <c r="X15" s="412"/>
      <c r="Y15" s="412"/>
      <c r="Z15" s="412"/>
      <c r="AA15" s="412"/>
      <c r="AB15" s="412"/>
      <c r="AC15" s="140"/>
      <c r="AD15" s="140"/>
      <c r="AE15" s="140"/>
      <c r="AF15" s="140"/>
      <c r="AG15" s="140"/>
      <c r="AH15" s="140"/>
      <c r="AI15" s="140"/>
      <c r="AJ15" s="140"/>
    </row>
    <row r="16" spans="2:36" x14ac:dyDescent="0.25">
      <c r="B16" s="412"/>
      <c r="C16" s="412"/>
      <c r="D16" s="412"/>
      <c r="E16" s="412"/>
      <c r="F16" s="412"/>
      <c r="G16" s="412"/>
      <c r="H16" s="412"/>
      <c r="I16" s="412"/>
      <c r="J16" s="412"/>
      <c r="K16" s="412"/>
      <c r="L16" s="412"/>
      <c r="M16" s="412"/>
      <c r="N16" s="412"/>
      <c r="P16" s="412"/>
      <c r="Q16" s="412"/>
      <c r="R16" s="412"/>
      <c r="S16" s="412"/>
      <c r="T16" s="412"/>
      <c r="U16" s="412"/>
      <c r="V16" s="412"/>
      <c r="W16" s="412"/>
      <c r="X16" s="412"/>
      <c r="Y16" s="412"/>
      <c r="Z16" s="412"/>
      <c r="AA16" s="412"/>
      <c r="AB16" s="412"/>
    </row>
    <row r="17" spans="2:14" x14ac:dyDescent="0.25">
      <c r="B17" s="412"/>
      <c r="C17" s="412"/>
      <c r="D17" s="412"/>
      <c r="E17" s="412"/>
      <c r="F17" s="412"/>
      <c r="G17" s="412"/>
      <c r="H17" s="412"/>
      <c r="I17" s="412"/>
      <c r="J17" s="412"/>
      <c r="K17" s="412"/>
      <c r="L17" s="412"/>
      <c r="M17" s="412"/>
      <c r="N17" s="412"/>
    </row>
    <row r="97" spans="2:18" x14ac:dyDescent="0.25">
      <c r="B97" s="412" t="s">
        <v>280</v>
      </c>
      <c r="C97" s="412"/>
      <c r="D97" s="412"/>
      <c r="E97" s="412"/>
      <c r="F97" s="412"/>
      <c r="G97" s="412"/>
      <c r="H97" s="412"/>
      <c r="I97" s="412"/>
      <c r="J97" s="412"/>
      <c r="K97" s="412"/>
      <c r="L97" s="412"/>
      <c r="M97" s="412"/>
      <c r="N97" s="412"/>
      <c r="O97" s="141"/>
      <c r="P97" s="141"/>
      <c r="Q97" s="141"/>
      <c r="R97" s="141"/>
    </row>
    <row r="98" spans="2:18" x14ac:dyDescent="0.25">
      <c r="B98" s="412"/>
      <c r="C98" s="412"/>
      <c r="D98" s="412"/>
      <c r="E98" s="412"/>
      <c r="F98" s="412"/>
      <c r="G98" s="412"/>
      <c r="H98" s="412"/>
      <c r="I98" s="412"/>
      <c r="J98" s="412"/>
      <c r="K98" s="412"/>
      <c r="L98" s="412"/>
      <c r="M98" s="412"/>
      <c r="N98" s="412"/>
      <c r="O98" s="141"/>
      <c r="P98" s="141"/>
      <c r="Q98" s="141"/>
      <c r="R98" s="141"/>
    </row>
    <row r="99" spans="2:18" x14ac:dyDescent="0.25">
      <c r="B99" s="412"/>
      <c r="C99" s="412"/>
      <c r="D99" s="412"/>
      <c r="E99" s="412"/>
      <c r="F99" s="412"/>
      <c r="G99" s="412"/>
      <c r="H99" s="412"/>
      <c r="I99" s="412"/>
      <c r="J99" s="412"/>
      <c r="K99" s="412"/>
      <c r="L99" s="412"/>
      <c r="M99" s="412"/>
      <c r="N99" s="412"/>
      <c r="O99" s="141"/>
      <c r="P99" s="141"/>
      <c r="Q99" s="141"/>
      <c r="R99" s="141"/>
    </row>
    <row r="100" spans="2:18" x14ac:dyDescent="0.25">
      <c r="B100" s="412"/>
      <c r="C100" s="412"/>
      <c r="D100" s="412"/>
      <c r="E100" s="412"/>
      <c r="F100" s="412"/>
      <c r="G100" s="412"/>
      <c r="H100" s="412"/>
      <c r="I100" s="412"/>
      <c r="J100" s="412"/>
      <c r="K100" s="412"/>
      <c r="L100" s="412"/>
      <c r="M100" s="412"/>
      <c r="N100" s="412"/>
    </row>
    <row r="101" spans="2:18" x14ac:dyDescent="0.25">
      <c r="B101" s="412"/>
      <c r="C101" s="412"/>
      <c r="D101" s="412"/>
      <c r="E101" s="412"/>
      <c r="F101" s="412"/>
      <c r="G101" s="412"/>
      <c r="H101" s="412"/>
      <c r="I101" s="412"/>
      <c r="J101" s="412"/>
      <c r="K101" s="412"/>
      <c r="L101" s="412"/>
      <c r="M101" s="412"/>
      <c r="N101" s="412"/>
    </row>
    <row r="102" spans="2:18" x14ac:dyDescent="0.25">
      <c r="B102" s="412"/>
      <c r="C102" s="412"/>
      <c r="D102" s="412"/>
      <c r="E102" s="412"/>
      <c r="F102" s="412"/>
      <c r="G102" s="412"/>
      <c r="H102" s="412"/>
      <c r="I102" s="412"/>
      <c r="J102" s="412"/>
      <c r="K102" s="412"/>
      <c r="L102" s="412"/>
      <c r="M102" s="412"/>
      <c r="N102" s="412"/>
    </row>
    <row r="103" spans="2:18" x14ac:dyDescent="0.25">
      <c r="B103" s="412"/>
      <c r="C103" s="412"/>
      <c r="D103" s="412"/>
      <c r="E103" s="412"/>
      <c r="F103" s="412"/>
      <c r="G103" s="412"/>
      <c r="H103" s="412"/>
      <c r="I103" s="412"/>
      <c r="J103" s="412"/>
      <c r="K103" s="412"/>
      <c r="L103" s="412"/>
      <c r="M103" s="412"/>
      <c r="N103" s="412"/>
    </row>
  </sheetData>
  <sheetProtection algorithmName="SHA-512" hashValue="MpaVzNOXctOKP2n9uwO9GStjf6TYN19hJeorMmtP/E/beRGhfkHaAT4HSIn0Git+nDV1w2cGgvzpApPcq5XOyw==" saltValue="cRTTsxrUAKFzwzR3dFWmDA==" spinCount="100000" sheet="1" objects="1" scenarios="1"/>
  <mergeCells count="3">
    <mergeCell ref="B12:N17"/>
    <mergeCell ref="P12:AB16"/>
    <mergeCell ref="B97:N10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O20"/>
  <sheetViews>
    <sheetView showGridLines="0" zoomScale="80" zoomScaleNormal="80" workbookViewId="0"/>
  </sheetViews>
  <sheetFormatPr defaultColWidth="0" defaultRowHeight="15" zeroHeight="1" x14ac:dyDescent="0.25"/>
  <cols>
    <col min="1" max="1" width="2.7109375" style="7" customWidth="1"/>
    <col min="2" max="2" width="25.7109375" style="7" customWidth="1"/>
    <col min="3" max="3" width="17.85546875" style="7" customWidth="1"/>
    <col min="4" max="4" width="36.28515625" style="7" customWidth="1"/>
    <col min="5" max="8" width="20.7109375" style="7" customWidth="1"/>
    <col min="9" max="9" width="14.7109375" style="7" customWidth="1"/>
    <col min="10" max="10" width="20.7109375" style="7" customWidth="1"/>
    <col min="11" max="37" width="20.7109375" style="7" hidden="1" customWidth="1"/>
    <col min="38" max="38" width="12.7109375" style="7" hidden="1" customWidth="1"/>
    <col min="39" max="39" width="37.42578125" style="7" hidden="1" customWidth="1"/>
    <col min="40" max="40" width="22.28515625" style="7" hidden="1" customWidth="1"/>
    <col min="41" max="41" width="8.85546875" style="7" customWidth="1"/>
    <col min="42" max="16384" width="8.85546875" style="7" hidden="1"/>
  </cols>
  <sheetData>
    <row r="1" spans="1:41" s="2" customFormat="1" ht="21" x14ac:dyDescent="0.25">
      <c r="A1" s="51"/>
      <c r="AN1" s="5"/>
    </row>
    <row r="2" spans="1:41" s="25" customFormat="1" ht="56.45" customHeight="1" x14ac:dyDescent="0.25">
      <c r="A2" s="51"/>
      <c r="B2" s="38" t="str">
        <f>MAT01_ConceptDesign!B2</f>
        <v>BREEAM UK NC (2018) Mat 01/02 Results Submission Tool</v>
      </c>
      <c r="C2" s="38"/>
      <c r="D2" s="38"/>
      <c r="E2" s="38"/>
      <c r="F2" s="38"/>
      <c r="G2" s="38"/>
      <c r="H2" s="38"/>
      <c r="I2" s="38"/>
      <c r="J2" s="38"/>
      <c r="K2" s="38"/>
      <c r="L2" s="38"/>
      <c r="M2" s="38"/>
      <c r="N2" s="54"/>
      <c r="O2" s="54"/>
      <c r="P2" s="54"/>
      <c r="Q2" s="54"/>
      <c r="R2" s="54"/>
      <c r="S2" s="54"/>
      <c r="T2" s="54"/>
      <c r="U2" s="54"/>
      <c r="V2" s="54"/>
      <c r="W2" s="54"/>
      <c r="X2" s="54"/>
      <c r="Y2" s="54"/>
      <c r="Z2" s="54"/>
      <c r="AA2" s="54"/>
      <c r="AB2" s="54"/>
      <c r="AC2" s="54"/>
      <c r="AD2" s="54"/>
      <c r="AE2" s="54"/>
      <c r="AF2" s="54"/>
      <c r="AG2" s="54"/>
      <c r="AH2" s="54"/>
      <c r="AI2" s="54"/>
      <c r="AJ2" s="54"/>
      <c r="AK2" s="54"/>
      <c r="AL2" s="2"/>
      <c r="AM2" s="2"/>
      <c r="AN2" s="5"/>
      <c r="AO2" s="2"/>
    </row>
    <row r="3" spans="1:41" s="2" customFormat="1" ht="21" x14ac:dyDescent="0.25">
      <c r="A3" s="51"/>
      <c r="B3" s="64" t="s">
        <v>170</v>
      </c>
      <c r="C3" s="64" t="s">
        <v>171</v>
      </c>
      <c r="AN3" s="5"/>
    </row>
    <row r="4" spans="1:41" s="2" customFormat="1" ht="21" x14ac:dyDescent="0.35">
      <c r="A4" s="51"/>
      <c r="B4" s="49"/>
      <c r="C4" s="50"/>
      <c r="AN4" s="5"/>
    </row>
    <row r="5" spans="1:41" s="2" customFormat="1" ht="21" x14ac:dyDescent="0.25">
      <c r="A5" s="51"/>
      <c r="AN5" s="5"/>
    </row>
    <row r="6" spans="1:41" ht="31.9" customHeight="1" x14ac:dyDescent="0.25">
      <c r="B6" s="37" t="s">
        <v>54</v>
      </c>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54"/>
      <c r="AM6" s="54"/>
    </row>
    <row r="7" spans="1:41" x14ac:dyDescent="0.25">
      <c r="B7" s="8"/>
      <c r="C7" s="4"/>
    </row>
    <row r="8" spans="1:41" s="34" customFormat="1" ht="62.45" customHeight="1" x14ac:dyDescent="0.25">
      <c r="B8" s="413" t="s">
        <v>14</v>
      </c>
      <c r="C8" s="413" t="s">
        <v>266</v>
      </c>
      <c r="D8" s="413" t="s">
        <v>238</v>
      </c>
      <c r="E8" s="413" t="str">
        <f>MAT01_ConceptDesign!B6</f>
        <v>Building LCA during Concept Design (and pre detailed planning approval)</v>
      </c>
      <c r="F8" s="413"/>
      <c r="G8" s="413"/>
      <c r="H8" s="53" t="str">
        <f>MAT01_TechnicalDesign!B6</f>
        <v>Building LCA during Technical Design</v>
      </c>
      <c r="I8" s="413" t="s">
        <v>263</v>
      </c>
      <c r="J8" s="413" t="s">
        <v>53</v>
      </c>
      <c r="K8" s="413" t="s">
        <v>49</v>
      </c>
      <c r="L8" s="413" t="s">
        <v>50</v>
      </c>
      <c r="M8" s="413" t="s">
        <v>51</v>
      </c>
      <c r="N8" s="413" t="s">
        <v>52</v>
      </c>
      <c r="O8" s="413" t="s">
        <v>177</v>
      </c>
      <c r="P8" s="413" t="s">
        <v>178</v>
      </c>
      <c r="Q8" s="413" t="s">
        <v>179</v>
      </c>
      <c r="R8" s="413" t="s">
        <v>180</v>
      </c>
      <c r="S8" s="413" t="s">
        <v>181</v>
      </c>
      <c r="T8" s="413" t="s">
        <v>182</v>
      </c>
      <c r="U8" s="413" t="s">
        <v>183</v>
      </c>
      <c r="V8" s="413" t="s">
        <v>184</v>
      </c>
      <c r="W8" s="413" t="s">
        <v>185</v>
      </c>
      <c r="X8" s="413" t="s">
        <v>186</v>
      </c>
      <c r="Y8" s="413" t="s">
        <v>187</v>
      </c>
      <c r="Z8" s="413" t="s">
        <v>188</v>
      </c>
      <c r="AA8" s="413" t="s">
        <v>189</v>
      </c>
      <c r="AB8" s="413" t="s">
        <v>190</v>
      </c>
      <c r="AC8" s="413" t="s">
        <v>191</v>
      </c>
      <c r="AD8" s="413" t="s">
        <v>192</v>
      </c>
      <c r="AE8" s="413" t="s">
        <v>193</v>
      </c>
      <c r="AF8" s="413" t="s">
        <v>194</v>
      </c>
      <c r="AG8" s="413" t="s">
        <v>195</v>
      </c>
      <c r="AH8" s="413" t="s">
        <v>196</v>
      </c>
      <c r="AI8" s="413" t="s">
        <v>197</v>
      </c>
      <c r="AJ8" s="413" t="s">
        <v>198</v>
      </c>
      <c r="AK8" s="413" t="s">
        <v>199</v>
      </c>
    </row>
    <row r="9" spans="1:41" s="34" customFormat="1" ht="78.599999999999994" customHeight="1" x14ac:dyDescent="0.25">
      <c r="B9" s="413"/>
      <c r="C9" s="413"/>
      <c r="D9" s="413"/>
      <c r="E9" s="53" t="s">
        <v>241</v>
      </c>
      <c r="F9" s="53" t="s">
        <v>239</v>
      </c>
      <c r="G9" s="53" t="s">
        <v>240</v>
      </c>
      <c r="H9" s="53" t="s">
        <v>241</v>
      </c>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33"/>
    </row>
    <row r="10" spans="1:41" s="1" customFormat="1" ht="30" x14ac:dyDescent="0.25">
      <c r="B10" s="130" t="s">
        <v>17</v>
      </c>
      <c r="C10" s="130" t="s">
        <v>267</v>
      </c>
      <c r="D10" s="130" t="s">
        <v>175</v>
      </c>
      <c r="E10" s="36" t="s">
        <v>13</v>
      </c>
      <c r="F10" s="36" t="s">
        <v>44</v>
      </c>
      <c r="G10" s="36" t="s">
        <v>44</v>
      </c>
      <c r="H10" s="36" t="s">
        <v>44</v>
      </c>
      <c r="I10" s="36" t="s">
        <v>13</v>
      </c>
      <c r="J10" s="130" t="str">
        <f>IF(I10="Yes","BRE EN ecopoints","Kg CO2e")</f>
        <v>BRE EN ecopoints</v>
      </c>
      <c r="K10" s="130"/>
      <c r="L10" s="130"/>
      <c r="M10" s="130"/>
      <c r="N10" s="130"/>
      <c r="O10" s="63"/>
      <c r="P10" s="63"/>
      <c r="Q10" s="63"/>
      <c r="R10" s="63"/>
      <c r="S10" s="63"/>
      <c r="T10" s="63"/>
      <c r="U10" s="63"/>
      <c r="V10" s="63"/>
      <c r="W10" s="63"/>
      <c r="X10" s="63"/>
      <c r="Y10" s="63"/>
      <c r="Z10" s="63"/>
      <c r="AA10" s="63"/>
      <c r="AB10" s="63"/>
      <c r="AC10" s="63"/>
      <c r="AD10" s="63"/>
      <c r="AE10" s="63"/>
      <c r="AF10" s="63"/>
      <c r="AG10" s="63"/>
      <c r="AH10" s="63"/>
      <c r="AI10" s="63"/>
      <c r="AJ10" s="63"/>
      <c r="AK10" s="63"/>
      <c r="AL10" s="2"/>
      <c r="AM10" s="1" t="str">
        <f>IF(I10="Yes",B10,"")</f>
        <v>BREEAM Simplified building LCA tool</v>
      </c>
      <c r="AN10" s="1" t="str">
        <f>IF(H10="Yes",B10,"")</f>
        <v/>
      </c>
    </row>
    <row r="11" spans="1:41" s="1" customFormat="1" ht="45" x14ac:dyDescent="0.25">
      <c r="B11" s="139" t="s">
        <v>343</v>
      </c>
      <c r="C11" s="139" t="s">
        <v>276</v>
      </c>
      <c r="D11" s="139" t="s">
        <v>176</v>
      </c>
      <c r="E11" s="36" t="s">
        <v>13</v>
      </c>
      <c r="F11" s="36" t="s">
        <v>13</v>
      </c>
      <c r="G11" s="36" t="s">
        <v>44</v>
      </c>
      <c r="H11" s="36" t="s">
        <v>13</v>
      </c>
      <c r="I11" s="36" t="s">
        <v>13</v>
      </c>
      <c r="J11" s="139" t="str">
        <f>IF(I11="Yes","BRE EN ecopoints","Kg CO2e")</f>
        <v>BRE EN ecopoints</v>
      </c>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2"/>
      <c r="AM11" s="1" t="str">
        <f>IF(I11="Yes",B11,"")</f>
        <v>eToolLCD (IMPACT Compliant) – using BRE EN data v5.x only</v>
      </c>
      <c r="AN11" s="1" t="str">
        <f>IF(H11="Yes",B11,"")</f>
        <v>eToolLCD (IMPACT Compliant) – using BRE EN data v5.x only</v>
      </c>
    </row>
    <row r="12" spans="1:41" s="1" customFormat="1" ht="30" x14ac:dyDescent="0.25">
      <c r="B12" s="35" t="s">
        <v>261</v>
      </c>
      <c r="C12" s="35" t="s">
        <v>264</v>
      </c>
      <c r="D12" s="63" t="s">
        <v>176</v>
      </c>
      <c r="E12" s="36" t="s">
        <v>13</v>
      </c>
      <c r="F12" s="36" t="s">
        <v>13</v>
      </c>
      <c r="G12" s="36" t="s">
        <v>13</v>
      </c>
      <c r="H12" s="36" t="s">
        <v>13</v>
      </c>
      <c r="I12" s="36" t="s">
        <v>44</v>
      </c>
      <c r="J12" s="134" t="str">
        <f>IF(I12="Yes","BRE EN 15804 ecopoints","Kg CO2e")</f>
        <v>Kg CO2e</v>
      </c>
      <c r="K12" s="35"/>
      <c r="L12" s="35"/>
      <c r="M12" s="35"/>
      <c r="N12" s="35"/>
      <c r="O12" s="63"/>
      <c r="P12" s="63"/>
      <c r="Q12" s="63"/>
      <c r="R12" s="63"/>
      <c r="S12" s="63"/>
      <c r="T12" s="63"/>
      <c r="U12" s="63"/>
      <c r="V12" s="63"/>
      <c r="W12" s="63"/>
      <c r="X12" s="63"/>
      <c r="Y12" s="63"/>
      <c r="Z12" s="63"/>
      <c r="AA12" s="63"/>
      <c r="AB12" s="63"/>
      <c r="AC12" s="63"/>
      <c r="AD12" s="63"/>
      <c r="AE12" s="63"/>
      <c r="AF12" s="63"/>
      <c r="AG12" s="63"/>
      <c r="AH12" s="63"/>
      <c r="AI12" s="63"/>
      <c r="AJ12" s="63"/>
      <c r="AK12" s="63"/>
      <c r="AL12" s="2"/>
      <c r="AM12" s="1" t="str">
        <f t="shared" ref="AM12:AM15" si="0">IF(I12="Yes",B12,"")</f>
        <v/>
      </c>
      <c r="AN12" s="1" t="str">
        <f t="shared" ref="AN12:AN14" si="1">IF(H12="Yes",B12,"")</f>
        <v>One Click LCA (LCA for BREEAM UK)</v>
      </c>
    </row>
    <row r="13" spans="1:41" s="1" customFormat="1" ht="45" x14ac:dyDescent="0.25">
      <c r="B13" s="35" t="s">
        <v>345</v>
      </c>
      <c r="C13" s="35" t="s">
        <v>265</v>
      </c>
      <c r="D13" s="35" t="s">
        <v>176</v>
      </c>
      <c r="E13" s="36" t="s">
        <v>13</v>
      </c>
      <c r="F13" s="36" t="s">
        <v>13</v>
      </c>
      <c r="G13" s="36" t="s">
        <v>44</v>
      </c>
      <c r="H13" s="36" t="s">
        <v>13</v>
      </c>
      <c r="I13" s="36" t="s">
        <v>13</v>
      </c>
      <c r="J13" s="136" t="str">
        <f>IF(I13="Yes","BRE EN ecopoints","Kg CO2e")</f>
        <v>BRE EN ecopoints</v>
      </c>
      <c r="K13" s="35"/>
      <c r="L13" s="35"/>
      <c r="M13" s="35"/>
      <c r="N13" s="35"/>
      <c r="O13" s="63"/>
      <c r="P13" s="63"/>
      <c r="Q13" s="63"/>
      <c r="R13" s="63"/>
      <c r="S13" s="63"/>
      <c r="T13" s="63"/>
      <c r="U13" s="63"/>
      <c r="V13" s="63"/>
      <c r="W13" s="63"/>
      <c r="X13" s="63"/>
      <c r="Y13" s="63"/>
      <c r="Z13" s="63"/>
      <c r="AA13" s="63"/>
      <c r="AB13" s="63"/>
      <c r="AC13" s="63"/>
      <c r="AD13" s="63"/>
      <c r="AE13" s="63"/>
      <c r="AF13" s="63"/>
      <c r="AG13" s="63"/>
      <c r="AH13" s="63"/>
      <c r="AI13" s="63"/>
      <c r="AJ13" s="63"/>
      <c r="AK13" s="63"/>
      <c r="AL13" s="2"/>
      <c r="AM13" s="1" t="str">
        <f t="shared" si="0"/>
        <v>One Click LCA (IMPACT Compliant) – using BRE EN data v5.x only</v>
      </c>
      <c r="AN13" s="1" t="str">
        <f t="shared" si="1"/>
        <v>One Click LCA (IMPACT Compliant) – using BRE EN data v5.x only</v>
      </c>
    </row>
    <row r="14" spans="1:41" s="1" customFormat="1" ht="48.6" customHeight="1" x14ac:dyDescent="0.25">
      <c r="B14" s="137" t="s">
        <v>268</v>
      </c>
      <c r="C14" s="137" t="s">
        <v>264</v>
      </c>
      <c r="D14" s="137" t="s">
        <v>176</v>
      </c>
      <c r="E14" s="36" t="s">
        <v>13</v>
      </c>
      <c r="F14" s="36" t="s">
        <v>13</v>
      </c>
      <c r="G14" s="36" t="s">
        <v>13</v>
      </c>
      <c r="H14" s="36" t="s">
        <v>13</v>
      </c>
      <c r="I14" s="36" t="s">
        <v>44</v>
      </c>
      <c r="J14" s="137" t="str">
        <f>IF(I14="Yes","BRE EN 15804 ecopoints","Kg CO2e")</f>
        <v>Kg CO2e</v>
      </c>
      <c r="K14" s="35"/>
      <c r="L14" s="35"/>
      <c r="M14" s="35"/>
      <c r="N14" s="35"/>
      <c r="O14" s="63"/>
      <c r="P14" s="63"/>
      <c r="Q14" s="63"/>
      <c r="R14" s="63"/>
      <c r="S14" s="63"/>
      <c r="T14" s="63"/>
      <c r="U14" s="63"/>
      <c r="V14" s="63"/>
      <c r="W14" s="63"/>
      <c r="X14" s="63"/>
      <c r="Y14" s="63"/>
      <c r="Z14" s="63"/>
      <c r="AA14" s="63"/>
      <c r="AB14" s="63"/>
      <c r="AC14" s="63"/>
      <c r="AD14" s="63"/>
      <c r="AE14" s="63"/>
      <c r="AF14" s="63"/>
      <c r="AG14" s="63"/>
      <c r="AH14" s="63"/>
      <c r="AI14" s="63"/>
      <c r="AJ14" s="63"/>
      <c r="AK14" s="63"/>
      <c r="AL14" s="2"/>
      <c r="AM14" s="1" t="str">
        <f t="shared" si="0"/>
        <v/>
      </c>
      <c r="AN14" s="1" t="str">
        <f t="shared" si="1"/>
        <v>One Click LCA (LCA for BREEAM UK, within IES-VE)</v>
      </c>
    </row>
    <row r="15" spans="1:41" s="1" customFormat="1" ht="60.6" customHeight="1" x14ac:dyDescent="0.25">
      <c r="B15" s="137" t="s">
        <v>344</v>
      </c>
      <c r="C15" s="137" t="s">
        <v>265</v>
      </c>
      <c r="D15" s="137" t="s">
        <v>176</v>
      </c>
      <c r="E15" s="36" t="s">
        <v>13</v>
      </c>
      <c r="F15" s="36" t="s">
        <v>13</v>
      </c>
      <c r="G15" s="36" t="s">
        <v>44</v>
      </c>
      <c r="H15" s="36" t="s">
        <v>13</v>
      </c>
      <c r="I15" s="36" t="s">
        <v>13</v>
      </c>
      <c r="J15" s="137" t="str">
        <f>IF(I15="Yes","BRE EN ecopoints","Kg CO2e")</f>
        <v>BRE EN ecopoints</v>
      </c>
      <c r="K15" s="35"/>
      <c r="L15" s="35"/>
      <c r="M15" s="35"/>
      <c r="N15" s="35"/>
      <c r="O15" s="63"/>
      <c r="P15" s="63"/>
      <c r="Q15" s="63"/>
      <c r="R15" s="63"/>
      <c r="S15" s="63"/>
      <c r="T15" s="63"/>
      <c r="U15" s="63"/>
      <c r="V15" s="63"/>
      <c r="W15" s="63"/>
      <c r="X15" s="63"/>
      <c r="Y15" s="63"/>
      <c r="Z15" s="63"/>
      <c r="AA15" s="63"/>
      <c r="AB15" s="63"/>
      <c r="AC15" s="63"/>
      <c r="AD15" s="63"/>
      <c r="AE15" s="63"/>
      <c r="AF15" s="63"/>
      <c r="AG15" s="63"/>
      <c r="AH15" s="63"/>
      <c r="AI15" s="63"/>
      <c r="AJ15" s="63"/>
      <c r="AK15" s="63"/>
      <c r="AL15" s="2"/>
      <c r="AM15" s="1" t="str">
        <f t="shared" si="0"/>
        <v>One Click LCA (IMPACT Compliant, within IES-VE) – using BRE EN data v5.x only</v>
      </c>
      <c r="AN15" s="1" t="str">
        <f>IF(H15="Yes",B15,"")</f>
        <v>One Click LCA (IMPACT Compliant, within IES-VE) – using BRE EN data v5.x only</v>
      </c>
    </row>
    <row r="16" spans="1:41" s="1" customFormat="1" ht="60.6" customHeight="1" x14ac:dyDescent="0.25">
      <c r="B16" s="138" t="s">
        <v>271</v>
      </c>
      <c r="C16" s="138" t="s">
        <v>272</v>
      </c>
      <c r="D16" s="138" t="s">
        <v>176</v>
      </c>
      <c r="E16" s="36" t="s">
        <v>13</v>
      </c>
      <c r="F16" s="36" t="s">
        <v>13</v>
      </c>
      <c r="G16" s="36" t="s">
        <v>44</v>
      </c>
      <c r="H16" s="36" t="s">
        <v>13</v>
      </c>
      <c r="I16" s="36" t="s">
        <v>44</v>
      </c>
      <c r="J16" s="138" t="str">
        <f t="shared" ref="J16" si="2">IF(I16="Yes","BRE EN 15804 ecopoints","Kg CO2e")</f>
        <v>Kg CO2e</v>
      </c>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2"/>
      <c r="AM16" s="1" t="str">
        <f t="shared" ref="AM16" si="3">IF(I16="Yes",B16,"")</f>
        <v/>
      </c>
      <c r="AN16" s="1" t="str">
        <f>IF(H16="Yes",B16,"")</f>
        <v>Sturgis Carbon Calculator</v>
      </c>
    </row>
    <row r="17" s="1" customFormat="1" x14ac:dyDescent="0.25"/>
    <row r="18" s="1" customFormat="1" x14ac:dyDescent="0.25"/>
    <row r="19" x14ac:dyDescent="0.25"/>
    <row r="20" x14ac:dyDescent="0.25"/>
  </sheetData>
  <sheetProtection algorithmName="SHA-512" hashValue="WyTpNuzu4DoWIzfp/+ex+mzd85EgsaaZN875k6KLmR5PpVSjrHd8aVNXkwfWoFrgJKHsdZEHxU1DEOkC+KxaRw==" saltValue="YUmNtio5WdVwUOoQdbdu5A==" spinCount="100000" sheet="1" objects="1" scenarios="1"/>
  <mergeCells count="33">
    <mergeCell ref="AI8:AI9"/>
    <mergeCell ref="AJ8:AJ9"/>
    <mergeCell ref="AK8:AK9"/>
    <mergeCell ref="AD8:AD9"/>
    <mergeCell ref="AE8:AE9"/>
    <mergeCell ref="AF8:AF9"/>
    <mergeCell ref="AG8:AG9"/>
    <mergeCell ref="AH8:AH9"/>
    <mergeCell ref="Y8:Y9"/>
    <mergeCell ref="Z8:Z9"/>
    <mergeCell ref="AA8:AA9"/>
    <mergeCell ref="AB8:AB9"/>
    <mergeCell ref="AC8:AC9"/>
    <mergeCell ref="T8:T9"/>
    <mergeCell ref="U8:U9"/>
    <mergeCell ref="V8:V9"/>
    <mergeCell ref="W8:W9"/>
    <mergeCell ref="X8:X9"/>
    <mergeCell ref="O8:O9"/>
    <mergeCell ref="P8:P9"/>
    <mergeCell ref="Q8:Q9"/>
    <mergeCell ref="R8:R9"/>
    <mergeCell ref="S8:S9"/>
    <mergeCell ref="J8:J9"/>
    <mergeCell ref="K8:K9"/>
    <mergeCell ref="L8:L9"/>
    <mergeCell ref="M8:M9"/>
    <mergeCell ref="N8:N9"/>
    <mergeCell ref="E8:G8"/>
    <mergeCell ref="B8:B9"/>
    <mergeCell ref="C8:C9"/>
    <mergeCell ref="D8:D9"/>
    <mergeCell ref="I8:I9"/>
  </mergeCells>
  <dataValidations count="1">
    <dataValidation type="list" allowBlank="1" showInputMessage="1" showErrorMessage="1" sqref="D10:D16" xr:uid="{00000000-0002-0000-0400-000000000000}">
      <formula1>RecognisedToolsIndicatorsAndCaps</formula1>
    </dataValidation>
  </dataValidations>
  <hyperlinks>
    <hyperlink ref="B3" location="MAT01_ConceptDesign!A1" display="Return to Concept Design Sheet" xr:uid="{00000000-0004-0000-0400-000000000000}"/>
    <hyperlink ref="C3" location="MAT01_TechnicalDesign!A1" display="Return to Concept Design Sheet" xr:uid="{00000000-0004-0000-0400-000001000000}"/>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2 0 1 1 . 1 1 0 . 2 8 3 2 . 2 5 ] ] > < / C u s t o m C o n t e n t > < / G e m i n i > 
</file>

<file path=customXml/item10.xml><?xml version="1.0" encoding="utf-8"?>
<ct:contentTypeSchema xmlns:ct="http://schemas.microsoft.com/office/2006/metadata/contentType" xmlns:ma="http://schemas.microsoft.com/office/2006/metadata/properties/metaAttributes" ct:_="" ma:_="" ma:contentTypeName="Document" ma:contentTypeID="0x010100081851FE5138754CBC10B0F1B0EB9FB9" ma:contentTypeVersion="13" ma:contentTypeDescription="Create a new document." ma:contentTypeScope="" ma:versionID="c09cfba7726a2fc0f0907a26643539f3">
  <xsd:schema xmlns:xsd="http://www.w3.org/2001/XMLSchema" xmlns:xs="http://www.w3.org/2001/XMLSchema" xmlns:p="http://schemas.microsoft.com/office/2006/metadata/properties" xmlns:ns3="e323aca2-667d-4ce8-9ec5-dae7228d75b0" xmlns:ns4="288e6360-7b82-4f53-b2a9-9b561cdd61ca" targetNamespace="http://schemas.microsoft.com/office/2006/metadata/properties" ma:root="true" ma:fieldsID="fda456fe6e317cecc4114eac8ffe627a" ns3:_="" ns4:_="">
    <xsd:import namespace="e323aca2-667d-4ce8-9ec5-dae7228d75b0"/>
    <xsd:import namespace="288e6360-7b82-4f53-b2a9-9b561cdd61c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23aca2-667d-4ce8-9ec5-dae7228d75b0"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88e6360-7b82-4f53-b2a9-9b561cdd61c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1.xml>��< ? x m l   v e r s i o n = " 1 . 0 "   e n c o d i n g = " U T F - 1 6 " ? > < G e m i n i   x m l n s = " h t t p : / / g e m i n i / p i v o t c u s t o m i z a t i o n / L i n k e d T a b l e U p d a t e M o d e " > < C u s t o m C o n t e n t > < ! [ C D A T A [ T r u e ] ] > < / C u s t o m C o n t e n t > < / G e m i n i > 
</file>

<file path=customXml/item12.xml>��< ? x m l   v e r s i o n = " 1 . 0 "   e n c o d i n g = " U T F - 1 6 " ? > < G e m i n i   x m l n s = " h t t p : / / g e m i n i / p i v o t c u s t o m i z a t i o n / T a b l e X M L _ T a b l e 1 - 0 4 a 0 4 c 1 a - c 4 7 6 - 4 d c f - 8 3 2 3 - 6 0 e 7 d d 4 2 5 1 7 4 " > < 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1 1 2 & l t ; / i n t & g t ; & l t ; / v a l u e & g t ; & l t ; / i t e m & g t ; & l t ; i t e m & g t ; & l t ; k e y & g t ; & l t ; s t r i n g & g t ; C o l u m n 2 & l t ; / s t r i n g & g t ; & l t ; / k e y & g t ; & l t ; v a l u e & g t ; & l t ; i n t & g t ; 1 1 2 & l t ; / i n t & g t ; & l t ; / v a l u e & g t ; & l t ; / i t e m & g t ; & l t ; i t e m & g t ; & l t ; k e y & g t ; & l t ; s t r i n g & g t ; C o l u m n 3 & l t ; / s t r i n g & g t ; & l t ; / k e y & g t ; & l t ; v a l u e & g t ; & l t ; i n t & g t ; 1 1 2 & l t ; / i n t & g t ; & l t ; / v a l u e & g t ; & l t ; / i t e m & g t ; & l t ; i t e m & g t ; & l t ; k e y & g t ; & l t ; s t r i n g & g t ; C o l u m n 4 & l t ; / s t r i n g & g t ; & l t ; / k e y & g t ; & l t ; v a l u e & g t ; & l t ; i n t & g t ; 1 1 2 & l t ; / i n t & g t ; & l t ; / v a l u e & g t ; & l t ; / i t e m & g t ; & l t ; i t e m & g t ; & l t ; k e y & g t ; & l t ; s t r i n g & g t ; C o l u m n 5 & l t ; / s t r i n g & g t ; & l t ; / k e y & g t ; & l t ; v a l u e & g t ; & l t ; i n t & g t ; 1 1 2 & l t ; / i n t & g t ; & l t ; / v a l u e & g t ; & l t ; / i t e m & g t ; & l t ; i t e m & g t ; & l t ; k e y & g t ; & l t ; s t r i n g & g t ; C o l u m n 6 & l t ; / s t r i n g & g t ; & l t ; / k e y & g t ; & l t ; v a l u e & g t ; & l t ; i n t & g t ; 1 1 2 & l t ; / i n t & g t ; & l t ; / v a l u e & g t ; & l t ; / i t e m & g t ; & l t ; i t e m & g t ; & l t ; k e y & g t ; & l t ; s t r i n g & g t ; C o l u m n 7 & l t ; / s t r i n g & g t ; & l t ; / k e y & g t ; & l t ; v a l u e & g t ; & l t ; i n t & g t ; 1 1 2 & l t ; / i n t & g t ; & l t ; / v a l u e & g t ; & l t ; / i t e m & g t ; & l t ; i t e m & g t ; & l t ; k e y & g t ; & l t ; s t r i n g & g t ; C o l u m n 8 & l t ; / s t r i n g & g t ; & l t ; / k e y & g t ; & l t ; v a l u e & g t ; & l t ; i n t & g t ; 1 1 2 & l t ; / i n t & g t ; & l t ; / v a l u e & g t ; & l t ; / i t e m & g t ; & l t ; i t e m & g t ; & l t ; k e y & g t ; & l t ; s t r i n g & g t ; C o l u m n 9 & l t ; / s t r i n g & g t ; & l t ; / k e y & g t ; & l t ; v a l u e & g t ; & l t ; i n t & g t ; 1 1 2 & l t ; / i n t & g t ; & l t ; / v a l u e & g t ; & l t ; / i t e m & g t ; & l t ; i t e m & g t ; & l t ; k e y & g t ; & l t ; s t r i n g & g t ; C o l u m n 1 0 & l t ; / s t r i n g & g t ; & l t ; / k e y & g t ; & l t ; v a l u e & g t ; & l t ; i n t & g t ; 1 2 2 & l t ; / i n t & g t ; & l t ; / v a l u e & g t ; & l t ; / i t e m & g t ; & l t ; i t e m & g t ; & l t ; k e y & g t ; & l t ; s t r i n g & g t ; C o l u m n 1 1 & l t ; / s t r i n g & g t ; & l t ; / k e y & g t ; & l t ; v a l u e & g t ; & l t ; i n t & g t ; 1 2 2 & l t ; / i n t & g t ; & l t ; / v a l u e & g t ; & l t ; / i t e m & g t ; & l t ; i t e m & g t ; & l t ; k e y & g t ; & l t ; s t r i n g & g t ; C o l u m n 1 2 & l t ; / s t r i n g & g t ; & l t ; / k e y & g t ; & l t ; v a l u e & g t ; & l t ; i n t & g t ; 1 2 2 & l t ; / i n t & g t ; & l t ; / v a l u e & g t ; & l t ; / i t e m & g t ; & l t ; i t e m & g t ; & l t ; k e y & g t ; & l t ; s t r i n g & g t ; C o l u m n 1 3 & l t ; / s t r i n g & g t ; & l t ; / k e y & g t ; & l t ; v a l u e & g t ; & l t ; i n t & g t ; 1 2 2 & l t ; / i n t & g t ; & l t ; / v a l u e & g t ; & l t ; / i t e m & g t ; & l t ; i t e m & g t ; & l t ; k e y & g t ; & l t ; s t r i n g & g t ; C o l u m n 1 4 & l t ; / s t r i n g & g t ; & l t ; / k e y & g t ; & l t ; v a l u e & g t ; & l t ; i n t & g t ; 1 2 2 & l t ; / i n t & g t ; & l t ; / v a l u e & g t ; & l t ; / i t e m & g t ; & l t ; i t e m & g t ; & l t ; k e y & g t ; & l t ; s t r i n g & g t ; C o l u m n 1 5 & l t ; / s t r i n g & g t ; & l t ; / k e y & g t ; & l t ; v a l u e & g t ; & l t ; i n t & g t ; 1 2 2 & l t ; / i n t & g t ; & l t ; / v a l u e & g t ; & l t ; / i t e m & g t ; & l t ; i t e m & g t ; & l t ; k e y & g t ; & l t ; s t r i n g & g t ; C o l u m n 1 6 & l t ; / s t r i n g & g t ; & l t ; / k e y & g t ; & l t ; v a l u e & g t ; & l t ; i n t & g t ; 1 2 2 & l t ; / i n t & g t ; & l t ; / v a l u e & g t ; & l t ; / i t e m & g t ; & l t ; i t e m & g t ; & l t ; k e y & g t ; & l t ; s t r i n g & g t ; C o l u m n 1 7 & l t ; / s t r i n g & g t ; & l t ; / k e y & g t ; & l t ; v a l u e & g t ; & l t ; i n t & g t ; 1 2 2 & l t ; / i n t & g t ; & l t ; / v a l u e & g t ; & l t ; / i t e m & g t ; & l t ; i t e m & g t ; & l t ; k e y & g t ; & l t ; s t r i n g & g t ; C o l u m n 1 8 & l t ; / s t r i n g & g t ; & l t ; / k e y & g t ; & l t ; v a l u e & g t ; & l t ; i n t & g t ; 1 2 2 & l t ; / i n t & g t ; & l t ; / v a l u e & g t ; & l t ; / i t e m & g t ; & l t ; i t e m & g t ; & l t ; k e y & g t ; & l t ; s t r i n g & g t ; C o l u m n 1 9 & l t ; / s t r i n g & g t ; & l t ; / k e y & g t ; & l t ; v a l u e & g t ; & l t ; i n t & g t ; 1 2 2 & l t ; / i n t & g t ; & l t ; / v a l u e & g t ; & l t ; / i t e m & g t ; & l t ; i t e m & g t ; & l t ; k e y & g t ; & l t ; s t r i n g & g t ; C o l u m n 2 0 & l t ; / s t r i n g & g t ; & l t ; / k e y & g t ; & l t ; v a l u e & g t ; & l t ; i n t & g t ; 1 2 2 & l t ; / i n t & g t ; & l t ; / v a l u e & g t ; & l t ; / i t e m & g t ; & l t ; i t e m & g t ; & l t ; k e y & g t ; & l t ; s t r i n g & g t ; C o l u m n 2 1 & l t ; / s t r i n g & g t ; & l t ; / k e y & g t ; & l t ; v a l u e & g t ; & l t ; i n t & g t ; 1 2 2 & l t ; / i n t & g t ; & l t ; / v a l u e & g t ; & l t ; / i t e m & g t ; & l t ; i t e m & g t ; & l t ; k e y & g t ; & l t ; s t r i n g & g t ; C o l u m n 2 2 & l t ; / s t r i n g & g t ; & l t ; / k e y & g t ; & l t ; v a l u e & g t ; & l t ; i n t & g t ; 1 2 2 & l t ; / i n t & g t ; & l t ; / v a l u e & g t ; & l t ; / i t e m & g t ; & l t ; i t e m & g t ; & l t ; k e y & g t ; & l t ; s t r i n g & g t ; C o l u m n 2 3 & l t ; / s t r i n g & g t ; & l t ; / k e y & g t ; & l t ; v a l u e & g t ; & l t ; i n t & g t ; 1 2 2 & l t ; / i n t & g t ; & l t ; / v a l u e & g t ; & l t ; / i t e m & g t ; & l t ; i t e m & g t ; & l t ; k e y & g t ; & l t ; s t r i n g & g t ; C o l u m n 2 4 & l t ; / s t r i n g & g t ; & l t ; / k e y & g t ; & l t ; v a l u e & g t ; & l t ; i n t & g t ; 1 2 2 & l t ; / i n t & g t ; & l t ; / v a l u e & g t ; & l t ; / i t e m & g t ; & l t ; i t e m & g t ; & l t ; k e y & g t ; & l t ; s t r i n g & g t ; C o l u m n 2 5 & l t ; / s t r i n g & g t ; & l t ; / k e y & g t ; & l t ; v a l u e & g t ; & l t ; i n t & g t ; 1 2 2 & l t ; / i n t & g t ; & l t ; / v a l u e & g t ; & l t ; / i t e m & g t ; & l t ; i t e m & g t ; & l t ; k e y & g t ; & l t ; s t r i n g & g t ; C o l u m n 2 6 & l t ; / s t r i n g & g t ; & l t ; / k e y & g t ; & l t ; v a l u e & g t ; & l t ; i n t & g t ; 1 2 2 & l t ; / i n t & g t ; & l t ; / v a l u e & g t ; & l t ; / i t e m & g t ; & l t ; i t e m & g t ; & l t ; k e y & g t ; & l t ; s t r i n g & g t ; C o l u m n 2 7 & l t ; / s t r i n g & g t ; & l t ; / k e y & g t ; & l t ; v a l u e & g t ; & l t ; i n t & g t ; 1 2 2 & l t ; / i n t & g t ; & l t ; / v a l u e & g t ; & l t ; / i t e m & g t ; & l t ; i t e m & g t ; & l t ; k e y & g t ; & l t ; s t r i n g & g t ; C o l u m n 2 8 & l t ; / s t r i n g & g t ; & l t ; / k e y & g t ; & l t ; v a l u e & g t ; & l t ; i n t & g t ; 1 2 2 & l t ; / i n t & g t ; & l t ; / v a l u e & g t ; & l t ; / i t e m & g t ; & l t ; i t e m & g t ; & l t ; k e y & g t ; & l t ; s t r i n g & g t ; C o l u m n 2 9 & l t ; / s t r i n g & g t ; & l t ; / k e y & g t ; & l t ; v a l u e & g t ; & l t ; i n t & g t ; 1 2 2 & l t ; / i n t & g t ; & l t ; / v a l u e & g t ; & l t ; / i t e m & g t ; & l t ; i t e m & g t ; & l t ; k e y & g t ; & l t ; s t r i n g & g t ; C o l u m n 3 0 & l t ; / s t r i n g & g t ; & l t ; / k e y & g t ; & l t ; v a l u e & g t ; & l t ; i n t & g t ; 1 2 2 & l t ; / i n t & g t ; & l t ; / v a l u e & g t ; & l t ; / i t e m & g t ; & l t ; i t e m & g t ; & l t ; k e y & g t ; & l t ; s t r i n g & g t ; C o l u m n 3 1 & l t ; / s t r i n g & g t ; & l t ; / k e y & g t ; & l t ; v a l u e & g t ; & l t ; i n t & g t ; 1 2 2 & l t ; / i n t & g t ; & l t ; / v a l u e & g t ; & l t ; / i t e m & g t ; & l t ; i t e m & g t ; & l t ; k e y & g t ; & l t ; s t r i n g & g t ; C o l u m n 3 2 & l t ; / s t r i n g & g t ; & l t ; / k e y & g t ; & l t ; v a l u e & g t ; & l t ; i n t & g t ; 1 2 2 & l t ; / i n t & g t ; & l t ; / v a l u e & g t ; & l t ; / i t e m & g t ; & l t ; i t e m & g t ; & l t ; k e y & g t ; & l t ; s t r i n g & g t ; C o l u m n 3 3 & l t ; / s t r i n g & g t ; & l t ; / k e y & g t ; & l t ; v a l u e & g t ; & l t ; i n t & g t ; 1 2 2 & l t ; / i n t & g t ; & l t ; / v a l u e & g t ; & l t ; / i t e m & g t ; & l t ; i t e m & g t ; & l t ; k e y & g t ; & l t ; s t r i n g & g t ; C o l u m n 3 4 & l t ; / s t r i n g & g t ; & l t ; / k e y & g t ; & l t ; v a l u e & g t ; & l t ; i n t & g t ; 1 2 2 & l t ; / i n t & g t ; & l t ; / v a l u e & g t ; & l t ; / i t e m & g t ; & l t ; i t e m & g t ; & l t ; k e y & g t ; & l t ; s t r i n g & g t ; C o l u m n 3 5 & l t ; / s t r i n g & g t ; & l t ; / k e y & g t ; & l t ; v a l u e & g t ; & l t ; i n t & g t ; 1 2 2 & l t ; / i n t & g t ; & l t ; / v a l u e & g t ; & l t ; / i t e m & g t ; & l t ; i t e m & g t ; & l t ; k e y & g t ; & l t ; s t r i n g & g t ; C o l u m n 3 6 & l t ; / s t r i n g & g t ; & l t ; / k e y & g t ; & l t ; v a l u e & g t ; & l t ; i n t & g t ; 1 2 2 & l t ; / i n t & g t ; & l t ; / v a l u e & g t ; & l t ; / i t e m & g t ; & l t ; i t e m & g t ; & l t ; k e y & g t ; & l t ; s t r i n g & g t ; C o l u m n 3 7 & l t ; / s t r i n g & g t ; & l t ; / k e y & g t ; & l t ; v a l u e & g t ; & l t ; i n t & g t ; 1 2 2 & l t ; / i n t & g t ; & l t ; / v a l u e & g t ; & l t ; / i t e m & g t ; & l t ; i t e m & g t ; & l t ; k e y & g t ; & l t ; s t r i n g & g t ; C o l u m n 3 8 & l t ; / s t r i n g & g t ; & l t ; / k e y & g t ; & l t ; v a l u e & g t ; & l t ; i n t & g t ; 1 2 2 & l t ; / i n t & g t ; & l t ; / v a l u e & g t ; & l t ; / i t e m & g t ; & l t ; i t e m & g t ; & l t ; k e y & g t ; & l t ; s t r i n g & g t ; C o l u m n 3 9 & l t ; / s t r i n g & g t ; & l t ; / k e y & g t ; & l t ; v a l u e & g t ; & l t ; i n t & g t ; 1 2 2 & l t ; / i n t & g t ; & l t ; / v a l u e & g t ; & l t ; / i t e m & g t ; & l t ; i t e m & g t ; & l t ; k e y & g t ; & l t ; s t r i n g & g t ; C o l u m n 4 0 & l t ; / s t r i n g & g t ; & l t ; / k e y & g t ; & l t ; v a l u e & g t ; & l t ; i n t & g t ; 1 2 2 & l t ; / i n t & g t ; & l t ; / v a l u e & g t ; & l t ; / i t e m & g t ; & l t ; i t e m & g t ; & l t ; k e y & g t ; & l t ; s t r i n g & g t ; C o l u m n 4 1 & l t ; / s t r i n g & g t ; & l t ; / k e y & g t ; & l t ; v a l u e & g t ; & l t ; i n t & g t ; 1 2 2 & l t ; / i n t & g t ; & l t ; / v a l u e & g t ; & l t ; / i t e m & g t ; & l t ; i t e m & g t ; & l t ; k e y & g t ; & l t ; s t r i n g & g t ; C o l u m n 4 2 & l t ; / s t r i n g & g t ; & l t ; / k e y & g t ; & l t ; v a l u e & g t ; & l t ; i n t & g t ; 1 2 2 & l t ; / i n t & g t ; & l t ; / v a l u e & g t ; & l t ; / i t e m & g t ; & l t ; i t e m & g t ; & l t ; k e y & g t ; & l t ; s t r i n g & g t ; C o l u m n 4 3 & l t ; / s t r i n g & g t ; & l t ; / k e y & g t ; & l t ; v a l u e & g t ; & l t ; i n t & g t ; 1 2 2 & l t ; / i n t & g t ; & l t ; / v a l u e & g t ; & l t ; / i t e m & g t ; & l t ; i t e m & g t ; & l t ; k e y & g t ; & l t ; s t r i n g & g t ; C o l u m n 4 4 & l t ; / s t r i n g & g t ; & l t ; / k e y & g t ; & l t ; v a l u e & g t ; & l t ; i n t & g t ; 1 2 2 & l t ; / i n t & g t ; & l t ; / v a l u e & g t ; & l t ; / i t e m & g t ; & l t ; i t e m & g t ; & l t ; k e y & g t ; & l t ; s t r i n g & g t ; C o l u m n 4 5 & l t ; / s t r i n g & g t ; & l t ; / k e y & g t ; & l t ; v a l u e & g t ; & l t ; i n t & g t ; 1 2 2 & l t ; / i n t & g t ; & l t ; / v a l u e & g t ; & l t ; / i t e m & g t ; & l t ; i t e m & g t ; & l t ; k e y & g t ; & l t ; s t r i n g & g t ; C o l u m n 4 6 & l t ; / s t r i n g & g t ; & l t ; / k e y & g t ; & l t ; v a l u e & g t ; & l t ; i n t & g t ; 1 2 2 & l t ; / i n t & g t ; & l t ; / v a l u e & g t ; & l t ; / i t e m & g t ; & l t ; i t e m & g t ; & l t ; k e y & g t ; & l t ; s t r i n g & g t ; C o l u m n 4 7 & l t ; / s t r i n g & g t ; & l t ; / k e y & g t ; & l t ; v a l u e & g t ; & l t ; i n t & g t ; 1 2 2 & l t ; / i n t & g t ; & l t ; / v a l u e & g t ; & l t ; / i t e m & g t ; & l t ; i t e m & g t ; & l t ; k e y & g t ; & l t ; s t r i n g & g t ; C o l u m n 4 8 & l t ; / s t r i n g & g t ; & l t ; / k e y & g t ; & l t ; v a l u e & g t ; & l t ; i n t & g t ; 1 2 2 & l t ; / i n t & g t ; & l t ; / v a l u e & g t ; & l t ; / i t e m & g t ; & l t ; i t e m & g t ; & l t ; k e y & g t ; & l t ; s t r i n g & g t ; C o l u m n 4 9 & l t ; / s t r i n g & g t ; & l t ; / k e y & g t ; & l t ; v a l u e & g t ; & l t ; i n t & g t ; 1 2 2 & l t ; / i n t & g t ; & l t ; / v a l u e & g t ; & l t ; / i t e m & g t ; & l t ; i t e m & g t ; & l t ; k e y & g t ; & l t ; s t r i n g & g t ; C o l u m n 5 0 & l t ; / s t r i n g & g t ; & l t ; / k e y & g t ; & l t ; v a l u e & g t ; & l t ; i n t & g t ; 1 2 2 & l t ; / i n t & g t ; & l t ; / v a l u e & g t ; & l t ; / i t e m & g t ; & l t ; i t e m & g t ; & l t ; k e y & g t ; & l t ; s t r i n g & g t ; C o l u m n 5 1 & l t ; / s t r i n g & g t ; & l t ; / k e y & g t ; & l t ; v a l u e & g t ; & l t ; i n t & g t ; 1 2 2 & l t ; / i n t & g t ; & l t ; / v a l u e & g t ; & l t ; / i t e m & g t ; & l t ; i t e m & g t ; & l t ; k e y & g t ; & l t ; s t r i n g & g t ; C o l u m n 5 2 & l t ; / s t r i n g & g t ; & l t ; / k e y & g t ; & l t ; v a l u e & g t ; & l t ; i n t & g t ; 1 2 2 & l t ; / i n t & g t ; & l t ; / v a l u e & g t ; & l t ; / i t e m & g t ; & l t ; i t e m & g t ; & l t ; k e y & g t ; & l t ; s t r i n g & g t ; C o l u m n 5 3 & l t ; / s t r i n g & g t ; & l t ; / k e y & g t ; & l t ; v a l u e & g t ; & l t ; i n t & g t ; 1 2 2 & l t ; / i n t & g t ; & l t ; / v a l u e & g t ; & l t ; / i t e m & g t ; & l t ; i t e m & g t ; & l t ; k e y & g t ; & l t ; s t r i n g & g t ; C o l u m n 5 4 & l t ; / s t r i n g & g t ; & l t ; / k e y & g t ; & l t ; v a l u e & g t ; & l t ; i n t & g t ; 1 2 2 & l t ; / i n t & g t ; & l t ; / v a l u e & g t ; & l t ; / i t e m & g t ; & l t ; i t e m & g t ; & l t ; k e y & g t ; & l t ; s t r i n g & g t ; C o l u m n 5 5 & l t ; / s t r i n g & g t ; & l t ; / k e y & g t ; & l t ; v a l u e & g t ; & l t ; i n t & g t ; 1 2 2 & l t ; / i n t & g t ; & l t ; / v a l u e & g t ; & l t ; / i t e m & g t ; & l t ; i t e m & g t ; & l t ; k e y & g t ; & l t ; s t r i n g & g t ; C o l u m n 5 6 & l t ; / s t r i n g & g t ; & l t ; / k e y & g t ; & l t ; v a l u e & g t ; & l t ; i n t & g t ; 1 2 2 & l t ; / i n t & g t ; & l t ; / v a l u e & g t ; & l t ; / i t e m & g t ; & l t ; i t e m & g t ; & l t ; k e y & g t ; & l t ; s t r i n g & g t ; C o l u m n 5 7 & l t ; / s t r i n g & g t ; & l t ; / k e y & g t ; & l t ; v a l u e & g t ; & l t ; i n t & g t ; 1 2 2 & l t ; / i n t & g t ; & l t ; / v a l u e & g t ; & l t ; / i t e m & g t ; & l t ; i t e m & g t ; & l t ; k e y & g t ; & l t ; s t r i n g & g t ; C o l u m n 5 8 & l t ; / s t r i n g & g t ; & l t ; / k e y & g t ; & l t ; v a l u e & g t ; & l t ; i n t & g t ; 1 2 2 & l t ; / i n t & g t ; & l t ; / v a l u e & g t ; & l t ; / i t e m & g t ; & l t ; i t e m & g t ; & l t ; k e y & g t ; & l t ; s t r i n g & g t ; C o l u m n 5 9 & l t ; / s t r i n g & g t ; & l t ; / k e y & g t ; & l t ; v a l u e & g t ; & l t ; i n t & g t ; 1 2 2 & l t ; / i n t & g t ; & l t ; / v a l u e & g t ; & l t ; / i t e m & g t ; & l t ; i t e m & g t ; & l t ; k e y & g t ; & l t ; s t r i n g & g t ; C o l u m n 6 0 & l t ; / s t r i n g & g t ; & l t ; / k e y & g t ; & l t ; v a l u e & g t ; & l t ; i n t & g t ; 1 2 2 & l t ; / i n t & g t ; & l t ; / v a l u e & g t ; & l t ; / i t e m & g t ; & l t ; i t e m & g t ; & l t ; k e y & g t ; & l t ; s t r i n g & g t ; C o l u m n 6 1 & l t ; / s t r i n g & g t ; & l t ; / k e y & g t ; & l t ; v a l u e & g t ; & l t ; i n t & g t ; 1 2 2 & l t ; / i n t & g t ; & l t ; / v a l u e & g t ; & l t ; / i t e m & g t ; & l t ; i t e m & g t ; & l t ; k e y & g t ; & l t ; s t r i n g & g t ; C o l u m n 6 2 & l t ; / s t r i n g & g t ; & l t ; / k e y & g t ; & l t ; v a l u e & g t ; & l t ; i n t & g t ; 1 2 2 & l t ; / i n t & g t ; & l t ; / v a l u e & g t ; & l t ; / i t e m & g t ; & l t ; i t e m & g t ; & l t ; k e y & g t ; & l t ; s t r i n g & g t ; C o l u m n 6 3 & l t ; / s t r i n g & g t ; & l t ; / k e y & g t ; & l t ; v a l u e & g t ; & l t ; i n t & g t ; 1 2 2 & l t ; / i n t & g t ; & l t ; / v a l u e & g t ; & l t ; / i t e m & g t ; & l t ; i t e m & g t ; & l t ; k e y & g t ; & l t ; s t r i n g & g t ; C o l u m n 6 4 & l t ; / s t r i n g & g t ; & l t ; / k e y & g t ; & l t ; v a l u e & g t ; & l t ; i n t & g t ; 1 2 2 & l t ; / i n t & g t ; & l t ; / v a l u e & g t ; & l t ; / i t e m & g t ; & l t ; i t e m & g t ; & l t ; k e y & g t ; & l t ; s t r i n g & g t ; C o l u m n 6 5 & l t ; / s t r i n g & g t ; & l t ; / k e y & g t ; & l t ; v a l u e & g t ; & l t ; i n t & g t ; 1 2 2 & l t ; / i n t & g t ; & l t ; / v a l u e & g t ; & l t ; / i t e m & g t ; & l t ; i t e m & g t ; & l t ; k e y & g t ; & l t ; s t r i n g & g t ; C o l u m n 6 6 & l t ; / s t r i n g & g t ; & l t ; / k e y & g t ; & l t ; v a l u e & g t ; & l t ; i n t & g t ; 1 2 2 & l t ; / i n t & g t ; & l t ; / v a l u e & g t ; & l t ; / i t e m & g t ; & l t ; i t e m & g t ; & l t ; k e y & g t ; & l t ; s t r i n g & g t ; C o l u m n 6 7 & l t ; / s t r i n g & g t ; & l t ; / k e y & g t ; & l t ; v a l u e & g t ; & l t ; i n t & g t ; 1 2 2 & l t ; / i n t & g t ; & l t ; / v a l u e & g t ; & l t ; / i t e m & g t ; & l t ; i t e m & g t ; & l t ; k e y & g t ; & l t ; s t r i n g & g t ; C o l u m n 6 8 & l t ; / s t r i n g & g t ; & l t ; / k e y & g t ; & l t ; v a l u e & g t ; & l t ; i n t & g t ; 1 2 2 & l t ; / i n t & g t ; & l t ; / v a l u e & g t ; & l t ; / i t e m & g t ; & l t ; i t e m & g t ; & l t ; k e y & g t ; & l t ; s t r i n g & g t ; C o l u m n 6 9 & l t ; / s t r i n g & g t ; & l t ; / k e y & g t ; & l t ; v a l u e & g t ; & l t ; i n t & g t ; 1 2 2 & l t ; / i n t & g t ; & l t ; / v a l u e & g t ; & l t ; / i t e m & g t ; & l t ; i t e m & g t ; & l t ; k e y & g t ; & l t ; s t r i n g & g t ; C o l u m n 7 0 & l t ; / s t r i n g & g t ; & l t ; / k e y & g t ; & l t ; v a l u e & g t ; & l t ; i n t & g t ; 1 2 2 & l t ; / i n t & g t ; & l t ; / v a l u e & g t ; & l t ; / i t e m & g t ; & l t ; i t e m & g t ; & l t ; k e y & g t ; & l t ; s t r i n g & g t ; C o l u m n 7 1 & l t ; / s t r i n g & g t ; & l t ; / k e y & g t ; & l t ; v a l u e & g t ; & l t ; i n t & g t ; 1 2 2 & l t ; / i n t & g t ; & l t ; / v a l u e & g t ; & l t ; / i t e m & g t ; & l t ; i t e m & g t ; & l t ; k e y & g t ; & l t ; s t r i n g & g t ; C o l u m n 7 2 & l t ; / s t r i n g & g t ; & l t ; / k e y & g t ; & l t ; v a l u e & g t ; & l t ; i n t & g t ; 1 2 2 & l t ; / i n t & g t ; & l t ; / v a l u e & g t ; & l t ; / i t e m & g t ; & l t ; i t e m & g t ; & l t ; k e y & g t ; & l t ; s t r i n g & g t ; C o l u m n 7 3 & l t ; / s t r i n g & g t ; & l t ; / k e y & g t ; & l t ; v a l u e & g t ; & l t ; i n t & g t ; 1 2 2 & l t ; / i n t & g t ; & l t ; / v a l u e & g t ; & l t ; / i t e m & g t ; & l t ; i t e m & g t ; & l t ; k e y & g t ; & l t ; s t r i n g & g t ; C o l u m n 7 4 & l t ; / s t r i n g & g t ; & l t ; / k e y & g t ; & l t ; v a l u e & g t ; & l t ; i n t & g t ; 1 2 2 & l t ; / i n t & g t ; & l t ; / v a l u e & g t ; & l t ; / i t e m & g t ; & l t ; i t e m & g t ; & l t ; k e y & g t ; & l t ; s t r i n g & g t ; C o l u m n 7 5 & l t ; / s t r i n g & g t ; & l t ; / k e y & g t ; & l t ; v a l u e & g t ; & l t ; i n t & g t ; 1 2 2 & l t ; / i n t & g t ; & l t ; / v a l u e & g t ; & l t ; / i t e m & g t ; & l t ; i t e m & g t ; & l t ; k e y & g t ; & l t ; s t r i n g & g t ; C o l u m n 7 6 & l t ; / s t r i n g & g t ; & l t ; / k e y & g t ; & l t ; v a l u e & g t ; & l t ; i n t & g t ; 1 2 2 & l t ; / i n t & g t ; & l t ; / v a l u e & g t ; & l t ; / i t e m & g t ; & l t ; i t e m & g t ; & l t ; k e y & g t ; & l t ; s t r i n g & g t ; C o l u m n 7 7 & l t ; / s t r i n g & g t ; & l t ; / k e y & g t ; & l t ; v a l u e & g t ; & l t ; i n t & g t ; 1 2 2 & l t ; / i n t & g t ; & l t ; / v a l u e & g t ; & l t ; / i t e m & g t ; & l t ; i t e m & g t ; & l t ; k e y & g t ; & l t ; s t r i n g & g t ; C o l u m n 7 8 & l t ; / s t r i n g & g t ; & l t ; / k e y & g t ; & l t ; v a l u e & g t ; & l t ; i n t & g t ; 1 2 2 & l t ; / i n t & g t ; & l t ; / v a l u e & g t ; & l t ; / i t e m & g t ; & l t ; i t e m & g t ; & l t ; k e y & g t ; & l t ; s t r i n g & g t ; C o l u m n 7 9 & l t ; / s t r i n g & g t ; & l t ; / k e y & g t ; & l t ; v a l u e & g t ; & l t ; i n t & g t ; 1 2 2 & l t ; / i n t & g t ; & l t ; / v a l u e & g t ; & l t ; / i t e m & g t ; & l t ; i t e m & g t ; & l t ; k e y & g t ; & l t ; s t r i n g & g t ; C o l u m n 8 0 & l t ; / s t r i n g & g t ; & l t ; / k e y & g t ; & l t ; v a l u e & g t ; & l t ; i n t & g t ; 1 2 2 & l t ; / i n t & g t ; & l t ; / v a l u e & g t ; & l t ; / i t e m & g t ; & l t ; i t e m & g t ; & l t ; k e y & g t ; & l t ; s t r i n g & g t ; C o l u m n 8 1 & l t ; / s t r i n g & g t ; & l t ; / k e y & g t ; & l t ; v a l u e & g t ; & l t ; i n t & g t ; 1 2 2 & l t ; / i n t & g t ; & l t ; / v a l u e & g t ; & l t ; / i t e m & g t ; & l t ; i t e m & g t ; & l t ; k e y & g t ; & l t ; s t r i n g & g t ; C o l u m n 8 2 & l t ; / s t r i n g & g t ; & l t ; / k e y & g t ; & l t ; v a l u e & g t ; & l t ; i n t & g t ; 1 2 2 & l t ; / i n t & g t ; & l t ; / v a l u e & g t ; & l t ; / i t e m & g t ; & l t ; i t e m & g t ; & l t ; k e y & g t ; & l t ; s t r i n g & g t ; C o l u m n 8 3 & l t ; / s t r i n g & g t ; & l t ; / k e y & g t ; & l t ; v a l u e & g t ; & l t ; i n t & g t ; 1 2 2 & l t ; / i n t & g t ; & l t ; / v a l u e & g t ; & l t ; / i t e m & g t ; & l t ; i t e m & g t ; & l t ; k e y & g t ; & l t ; s t r i n g & g t ; C o l u m n 8 4 & l t ; / s t r i n g & g t ; & l t ; / k e y & g t ; & l t ; v a l u e & g t ; & l t ; i n t & g t ; 1 2 2 & l t ; / i n t & g t ; & l t ; / v a l u e & g t ; & l t ; / i t e m & g t ; & l t ; i t e m & g t ; & l t ; k e y & g t ; & l t ; s t r i n g & g t ; C o l u m n 8 5 & l t ; / s t r i n g & g t ; & l t ; / k e y & g t ; & l t ; v a l u e & g t ; & l t ; i n t & g t ; 1 2 2 & l t ; / i n t & g t ; & l t ; / v a l u e & g t ; & l t ; / i t e m & g t ; & l t ; i t e m & g t ; & l t ; k e y & g t ; & l t ; s t r i n g & g t ; C o l u m n 8 6 & l t ; / s t r i n g & g t ; & l t ; / k e y & g t ; & l t ; v a l u e & g t ; & l t ; i n t & g t ; 1 2 2 & l t ; / i n t & g t ; & l t ; / v a l u e & g t ; & l t ; / i t e m & g t ; & l t ; i t e m & g t ; & l t ; k e y & g t ; & l t ; s t r i n g & g t ; C o l u m n 8 7 & l t ; / s t r i n g & g t ; & l t ; / k e y & g t ; & l t ; v a l u e & g t ; & l t ; i n t & g t ; 1 2 2 & l t ; / i n t & g t ; & l t ; / v a l u e & g t ; & l t ; / i t e m & g t ; & l t ; i t e m & g t ; & l t ; k e y & g t ; & l t ; s t r i n g & g t ; C o l u m n 8 8 & l t ; / s t r i n g & g t ; & l t ; / k e y & g t ; & l t ; v a l u e & g t ; & l t ; i n t & g t ; 1 2 2 & l t ; / i n t & g t ; & l t ; / v a l u e & g t ; & l t ; / i t e m & g t ; & l t ; i t e m & g t ; & l t ; k e y & g t ; & l t ; s t r i n g & g t ; C o l u m n 8 9 & l t ; / s t r i n g & g t ; & l t ; / k e y & g t ; & l t ; v a l u e & g t ; & l t ; i n t & g t ; 1 2 2 & l t ; / i n t & g t ; & l t ; / v a l u e & g t ; & l t ; / i t e m & g t ; & l t ; i t e m & g t ; & l t ; k e y & g t ; & l t ; s t r i n g & g t ; C o l u m n 9 0 & l t ; / s t r i n g & g t ; & l t ; / k e y & g t ; & l t ; v a l u e & g t ; & l t ; i n t & g t ; 1 2 2 & l t ; / i n t & g t ; & l t ; / v a l u e & g t ; & l t ; / i t e m & g t ; & l t ; i t e m & g t ; & l t ; k e y & g t ; & l t ; s t r i n g & g t ; C o l u m n 9 1 & l t ; / s t r i n g & g t ; & l t ; / k e y & g t ; & l t ; v a l u e & g t ; & l t ; i n t & g t ; 1 2 2 & l t ; / i n t & g t ; & l t ; / v a l u e & g t ; & l t ; / i t e m & g t ; & l t ; i t e m & g t ; & l t ; k e y & g t ; & l t ; s t r i n g & g t ; C o l u m n 9 2 & l t ; / s t r i n g & g t ; & l t ; / k e y & g t ; & l t ; v a l u e & g t ; & l t ; i n t & g t ; 1 2 2 & l t ; / i n t & g t ; & l t ; / v a l u e & g t ; & l t ; / i t e m & g t ; & l t ; i t e m & g t ; & l t ; k e y & g t ; & l t ; s t r i n g & g t ; C o l u m n 9 3 & l t ; / s t r i n g & g t ; & l t ; / k e y & g t ; & l t ; v a l u e & g t ; & l t ; i n t & g t ; 1 2 2 & l t ; / i n t & g t ; & l t ; / v a l u e & g t ; & l t ; / i t e m & g t ; & l t ; i t e m & g t ; & l t ; k e y & g t ; & l t ; s t r i n g & g t ; C o l u m n 9 4 & l t ; / s t r i n g & g t ; & l t ; / k e y & g t ; & l t ; v a l u e & g t ; & l t ; i n t & g t ; 1 2 2 & l t ; / i n t & g t ; & l t ; / v a l u e & g t ; & l t ; / i t e m & g t ; & l t ; i t e m & g t ; & l t ; k e y & g t ; & l t ; s t r i n g & g t ; C o l u m n 9 5 & l t ; / s t r i n g & g t ; & l t ; / k e y & g t ; & l t ; v a l u e & g t ; & l t ; i n t & g t ; 1 2 2 & l t ; / i n t & g t ; & l t ; / v a l u e & g t ; & l t ; / i t e m & g t ; & l t ; i t e m & g t ; & l t ; k e y & g t ; & l t ; s t r i n g & g t ; C o l u m n 9 6 & l t ; / s t r i n g & g t ; & l t ; / k e y & g t ; & l t ; v a l u e & g t ; & l t ; i n t & g t ; 1 2 2 & l t ; / i n t & g t ; & l t ; / v a l u e & g t ; & l t ; / i t e m & g t ; & l t ; i t e m & g t ; & l t ; k e y & g t ; & l t ; s t r i n g & g t ; C o l u m n 9 7 & l t ; / s t r i n g & g t ; & l t ; / k e y & g t ; & l t ; v a l u e & g t ; & l t ; i n t & g t ; 1 2 2 & l t ; / i n t & g t ; & l t ; / v a l u e & g t ; & l t ; / i t e m & g t ; & l t ; i t e m & g t ; & l t ; k e y & g t ; & l t ; s t r i n g & g t ; C o l u m n 9 8 & l t ; / s t r i n g & g t ; & l t ; / k e y & g t ; & l t ; v a l u e & g t ; & l t ; i n t & g t ; 1 2 2 & l t ; / i n t & g t ; & l t ; / v a l u e & g t ; & l t ; / i t e m & g t ; & l t ; i t e m & g t ; & l t ; k e y & g t ; & l t ; s t r i n g & g t ; C o l u m n 9 9 & l t ; / s t r i n g & g t ; & l t ; / k e y & g t ; & l t ; v a l u e & g t ; & l t ; i n t & g t ; 1 2 2 & l t ; / i n t & g t ; & l t ; / v a l u e & g t ; & l t ; / i t e m & g t ; & l t ; i t e m & g t ; & l t ; k e y & g t ; & l t ; s t r i n g & g t ; C o l u m n 1 0 0 & l t ; / s t r i n g & g t ; & l t ; / k e y & g t ; & l t ; v a l u e & g t ; & l t ; i n t & g t ; 1 3 2 & l t ; / i n t & g t ; & l t ; / v a l u e & g t ; & l t ; / i t e m & g t ; & l t ; i t e m & g t ; & l t ; k e y & g t ; & l t ; s t r i n g & g t ; C o l u m n 1 0 1 & l t ; / s t r i n g & g t ; & l t ; / k e y & g t ; & l t ; v a l u e & g t ; & l t ; i n t & g t ; 1 3 2 & l t ; / i n t & g t ; & l t ; / v a l u e & g t ; & l t ; / i t e m & g t ; & l t ; i t e m & g t ; & l t ; k e y & g t ; & l t ; s t r i n g & g t ; C o l u m n 1 0 2 & l t ; / s t r i n g & g t ; & l t ; / k e y & g t ; & l t ; v a l u e & g t ; & l t ; i n t & g t ; 1 3 2 & l t ; / i n t & g t ; & l t ; / v a l u e & g t ; & l t ; / i t e m & g t ; & l t ; i t e m & g t ; & l t ; k e y & g t ; & l t ; s t r i n g & g t ; C o l u m n 1 0 3 & l t ; / s t r i n g & g t ; & l t ; / k e y & g t ; & l t ; v a l u e & g t ; & l t ; i n t & g t ; 1 3 2 & l t ; / i n t & g t ; & l t ; / v a l u e & g t ; & l t ; / i t e m & g t ; & l t ; i t e m & g t ; & l t ; k e y & g t ; & l t ; s t r i n g & g t ; C o l u m n 1 0 4 & l t ; / s t r i n g & g t ; & l t ; / k e y & g t ; & l t ; v a l u e & g t ; & l t ; i n t & g t ; 1 3 2 & l t ; / i n t & g t ; & l t ; / v a l u e & g t ; & l t ; / i t e m & g t ; & l t ; i t e m & g t ; & l t ; k e y & g t ; & l t ; s t r i n g & g t ; C o l u m n 1 0 5 & l t ; / s t r i n g & g t ; & l t ; / k e y & g t ; & l t ; v a l u e & g t ; & l t ; i n t & g t ; 1 3 2 & l t ; / i n t & g t ; & l t ; / v a l u e & g t ; & l t ; / i t e m & g t ; & l t ; i t e m & g t ; & l t ; k e y & g t ; & l t ; s t r i n g & g t ; C o l u m n 1 0 6 & l t ; / s t r i n g & g t ; & l t ; / k e y & g t ; & l t ; v a l u e & g t ; & l t ; i n t & g t ; 1 3 2 & l t ; / i n t & g t ; & l t ; / v a l u e & g t ; & l t ; / i t e m & g t ; & l t ; i t e m & g t ; & l t ; k e y & g t ; & l t ; s t r i n g & g t ; C o l u m n 1 0 7 & l t ; / s t r i n g & g t ; & l t ; / k e y & g t ; & l t ; v a l u e & g t ; & l t ; i n t & g t ; 1 3 2 & l t ; / i n t & g t ; & l t ; / v a l u e & g t ; & l t ; / i t e m & g t ; & l t ; i t e m & g t ; & l t ; k e y & g t ; & l t ; s t r i n g & g t ; C o l u m n 1 0 8 & l t ; / s t r i n g & g t ; & l t ; / k e y & g t ; & l t ; v a l u e & g t ; & l t ; i n t & g t ; 1 3 2 & l t ; / i n t & g t ; & l t ; / v a l u e & g t ; & l t ; / i t e m & g t ; & l t ; i t e m & g t ; & l t ; k e y & g t ; & l t ; s t r i n g & g t ; C o l u m n 1 0 9 & l t ; / s t r i n g & g t ; & l t ; / k e y & g t ; & l t ; v a l u e & g t ; & l t ; i n t & g t ; 1 3 2 & l t ; / i n t & g t ; & l t ; / v a l u e & g t ; & l t ; / i t e m & g t ; & l t ; i t e m & g t ; & l t ; k e y & g t ; & l t ; s t r i n g & g t ; C o l u m n 1 1 0 & l t ; / s t r i n g & g t ; & l t ; / k e y & g t ; & l t ; v a l u e & g t ; & l t ; i n t & g t ; 1 3 2 & l t ; / i n t & g t ; & l t ; / v a l u e & g t ; & l t ; / i t e m & g t ; & l t ; i t e m & g t ; & l t ; k e y & g t ; & l t ; s t r i n g & g t ; C o l u m n 1 1 1 & l t ; / s t r i n g & g t ; & l t ; / k e y & g t ; & l t ; v a l u e & g t ; & l t ; i n t & g t ; 1 3 2 & l t ; / i n t & g t ; & l t ; / v a l u e & g t ; & l t ; / i t e m & g t ; & l t ; i t e m & g t ; & l t ; k e y & g t ; & l t ; s t r i n g & g t ; C o l u m n 1 1 2 & l t ; / s t r i n g & g t ; & l t ; / k e y & g t ; & l t ; v a l u e & g t ; & l t ; i n t & g t ; 1 3 2 & l t ; / i n t & g t ; & l t ; / v a l u e & g t ; & l t ; / i t e m & g t ; & l t ; i t e m & g t ; & l t ; k e y & g t ; & l t ; s t r i n g & g t ; C o l u m n 1 1 3 & l t ; / s t r i n g & g t ; & l t ; / k e y & g t ; & l t ; v a l u e & g t ; & l t ; i n t & g t ; 1 3 2 & l t ; / i n t & g t ; & l t ; / v a l u e & g t ; & l t ; / i t e m & g t ; & l t ; i t e m & g t ; & l t ; k e y & g t ; & l t ; s t r i n g & g t ; C o l u m n 1 1 4 & l t ; / s t r i n g & g t ; & l t ; / k e y & g t ; & l t ; v a l u e & g t ; & l t ; i n t & g t ; 1 3 2 & l t ; / i n t & g t ; & l t ; / v a l u e & g t ; & l t ; / i t e m & g t ; & l t ; i t e m & g t ; & l t ; k e y & g t ; & l t ; s t r i n g & g t ; C o l u m n 1 1 5 & l t ; / s t r i n g & g t ; & l t ; / k e y & g t ; & l t ; v a l u e & g t ; & l t ; i n t & g t ; 1 3 2 & l t ; / i n t & g t ; & l t ; / v a l u e & g t ; & l t ; / i t e m & g t ; & l t ; i t e m & g t ; & l t ; k e y & g t ; & l t ; s t r i n g & g t ; C o l u m n 1 1 6 & l t ; / s t r i n g & g t ; & l t ; / k e y & g t ; & l t ; v a l u e & g t ; & l t ; i n t & g t ; 1 3 2 & l t ; / i n t & g t ; & l t ; / v a l u e & g t ; & l t ; / i t e m & g t ; & l t ; i t e m & g t ; & l t ; k e y & g t ; & l t ; s t r i n g & g t ; C o l u m n 1 1 7 & l t ; / s t r i n g & g t ; & l t ; / k e y & g t ; & l t ; v a l u e & g t ; & l t ; i n t & g t ; 1 3 2 & l t ; / i n t & g t ; & l t ; / v a l u e & g t ; & l t ; / i t e m & g t ; & l t ; i t e m & g t ; & l t ; k e y & g t ; & l t ; s t r i n g & g t ; C o l u m n 1 1 8 & l t ; / s t r i n g & g t ; & l t ; / k e y & g t ; & l t ; v a l u e & g t ; & l t ; i n t & g t ; 1 3 2 & l t ; / i n t & g t ; & l t ; / v a l u e & g t ; & l t ; / i t e m & g t ; & l t ; i t e m & g t ; & l t ; k e y & g t ; & l t ; s t r i n g & g t ; C o l u m n 1 1 9 & l t ; / s t r i n g & g t ; & l t ; / k e y & g t ; & l t ; v a l u e & g t ; & l t ; i n t & g t ; 1 3 2 & l t ; / i n t & g t ; & l t ; / v a l u e & g t ; & l t ; / i t e m & g t ; & l t ; i t e m & g t ; & l t ; k e y & g t ; & l t ; s t r i n g & g t ; C o l u m n 1 2 0 & l t ; / s t r i n g & g t ; & l t ; / k e y & g t ; & l t ; v a l u e & g t ; & l t ; i n t & g t ; 1 3 2 & l t ; / i n t & g t ; & l t ; / v a l u e & g t ; & l t ; / i t e m & g t ; & l t ; i t e m & g t ; & l t ; k e y & g t ; & l t ; s t r i n g & g t ; C o l u m n 1 2 1 & l t ; / s t r i n g & g t ; & l t ; / k e y & g t ; & l t ; v a l u e & g t ; & l t ; i n t & g t ; 1 3 2 & l t ; / i n t & g t ; & l t ; / v a l u e & g t ; & l t ; / i t e m & g t ; & l t ; i t e m & g t ; & l t ; k e y & g t ; & l t ; s t r i n g & g t ; C o l u m n 1 2 2 & l t ; / s t r i n g & g t ; & l t ; / k e y & g t ; & l t ; v a l u e & g t ; & l t ; i n t & g t ; 1 3 2 & l t ; / i n t & g t ; & l t ; / v a l u e & g t ; & l t ; / i t e m & g t ; & l t ; i t e m & g t ; & l t ; k e y & g t ; & l t ; s t r i n g & g t ; C o l u m n 1 2 3 & l t ; / s t r i n g & g t ; & l t ; / k e y & g t ; & l t ; v a l u e & g t ; & l t ; i n t & g t ; 1 3 2 & l t ; / i n t & g t ; & l t ; / v a l u e & g t ; & l t ; / i t e m & g t ; & l t ; i t e m & g t ; & l t ; k e y & g t ; & l t ; s t r i n g & g t ; C o l u m n 1 2 4 & l t ; / s t r i n g & g t ; & l t ; / k e y & g t ; & l t ; v a l u e & g t ; & l t ; i n t & g t ; 1 3 2 & l t ; / i n t & g t ; & l t ; / v a l u e & g t ; & l t ; / i t e m & g t ; & l t ; i t e m & g t ; & l t ; k e y & g t ; & l t ; s t r i n g & g t ; C o l u m n 1 2 5 & l t ; / s t r i n g & g t ; & l t ; / k e y & g t ; & l t ; v a l u e & g t ; & l t ; i n t & g t ; 1 3 2 & l t ; / i n t & g t ; & l t ; / v a l u e & g t ; & l t ; / i t e m & g t ; & l t ; i t e m & g t ; & l t ; k e y & g t ; & l t ; s t r i n g & g t ; C o l u m n 1 2 6 & l t ; / s t r i n g & g t ; & l t ; / k e y & g t ; & l t ; v a l u e & g t ; & l t ; i n t & g t ; 1 3 2 & l t ; / i n t & g t ; & l t ; / v a l u e & g t ; & l t ; / i t e m & g t ; & l t ; i t e m & g t ; & l t ; k e y & g t ; & l t ; s t r i n g & g t ; C o l u m n 1 2 7 & l t ; / s t r i n g & g t ; & l t ; / k e y & g t ; & l t ; v a l u e & g t ; & l t ; i n t & g t ; 1 3 2 & l t ; / i n t & g t ; & l t ; / v a l u e & g t ; & l t ; / i t e m & g t ; & l t ; i t e m & g t ; & l t ; k e y & g t ; & l t ; s t r i n g & g t ; C o l u m n 1 2 8 & l t ; / s t r i n g & g t ; & l t ; / k e y & g t ; & l t ; v a l u e & g t ; & l t ; i n t & g t ; 1 3 2 & l t ; / i n t & g t ; & l t ; / v a l u e & g t ; & l t ; / i t e m & g t ; & l t ; i t e m & g t ; & l t ; k e y & g t ; & l t ; s t r i n g & g t ; C o l u m n 1 2 9 & l t ; / s t r i n g & g t ; & l t ; / k e y & g t ; & l t ; v a l u e & g t ; & l t ; i n t & g t ; 1 3 2 & l t ; / i n t & g t ; & l t ; / v a l u e & g t ; & l t ; / i t e m & g t ; & l t ; i t e m & g t ; & l t ; k e y & g t ; & l t ; s t r i n g & g t ; C o l u m n 1 3 0 & l t ; / s t r i n g & g t ; & l t ; / k e y & g t ; & l t ; v a l u e & g t ; & l t ; i n t & g t ; 1 3 2 & l t ; / i n t & g t ; & l t ; / v a l u e & g t ; & l t ; / i t e m & g t ; & l t ; i t e m & g t ; & l t ; k e y & g t ; & l t ; s t r i n g & g t ; C o l u m n 1 3 1 & l t ; / s t r i n g & g t ; & l t ; / k e y & g t ; & l t ; v a l u e & g t ; & l t ; i n t & g t ; 1 3 2 & l t ; / i n t & g t ; & l t ; / v a l u e & g t ; & l t ; / i t e m & g t ; & l t ; i t e m & g t ; & l t ; k e y & g t ; & l t ; s t r i n g & g t ; C o l u m n 1 3 2 & l t ; / s t r i n g & g t ; & l t ; / k e y & g t ; & l t ; v a l u e & g t ; & l t ; i n t & g t ; 1 3 2 & l t ; / i n t & g t ; & l t ; / v a l u e & g t ; & l t ; / i t e m & g t ; & l t ; i t e m & g t ; & l t ; k e y & g t ; & l t ; s t r i n g & g t ; C o l u m n 1 3 3 & l t ; / s t r i n g & g t ; & l t ; / k e y & g t ; & l t ; v a l u e & g t ; & l t ; i n t & g t ; 1 3 2 & l t ; / i n t & g t ; & l t ; / v a l u e & g t ; & l t ; / i t e m & g t ; & l t ; i t e m & g t ; & l t ; k e y & g t ; & l t ; s t r i n g & g t ; C o l u m n 1 3 4 & l t ; / s t r i n g & g t ; & l t ; / k e y & g t ; & l t ; v a l u e & g t ; & l t ; i n t & g t ; 1 3 2 & l t ; / i n t & g t ; & l t ; / v a l u e & g t ; & l t ; / i t e m & g t ; & l t ; i t e m & g t ; & l t ; k e y & g t ; & l t ; s t r i n g & g t ; C o l u m n 1 3 5 & l t ; / s t r i n g & g t ; & l t ; / k e y & g t ; & l t ; v a l u e & g t ; & l t ; i n t & g t ; 1 3 2 & l t ; / i n t & g t ; & l t ; / v a l u e & g t ; & l t ; / i t e m & g t ; & l t ; i t e m & g t ; & l t ; k e y & g t ; & l t ; s t r i n g & g t ; C o l u m n 1 3 6 & l t ; / s t r i n g & g t ; & l t ; / k e y & g t ; & l t ; v a l u e & g t ; & l t ; i n t & g t ; 1 3 2 & l t ; / i n t & g t ; & l t ; / v a l u e & g t ; & l t ; / i t e m & g t ; & l t ; i t e m & g t ; & l t ; k e y & g t ; & l t ; s t r i n g & g t ; C o l u m n 1 3 7 & l t ; / s t r i n g & g t ; & l t ; / k e y & g t ; & l t ; v a l u e & g t ; & l t ; i n t & g t ; 1 3 2 & l t ; / i n t & g t ; & l t ; / v a l u e & g t ; & l t ; / i t e m & g t ; & l t ; i t e m & g t ; & l t ; k e y & g t ; & l t ; s t r i n g & g t ; C o l u m n 1 3 8 & l t ; / s t r i n g & g t ; & l t ; / k e y & g t ; & l t ; v a l u e & g t ; & l t ; i n t & g t ; 1 3 2 & l t ; / i n t & g t ; & l t ; / v a l u e & g t ; & l t ; / i t e m & g t ; & l t ; i t e m & g t ; & l t ; k e y & g t ; & l t ; s t r i n g & g t ; C o l u m n 1 3 9 & l t ; / s t r i n g & g t ; & l t ; / k e y & g t ; & l t ; v a l u e & g t ; & l t ; i n t & g t ; 1 3 2 & l t ; / i n t & g t ; & l t ; / v a l u e & g t ; & l t ; / i t e m & g t ; & l t ; i t e m & g t ; & l t ; k e y & g t ; & l t ; s t r i n g & g t ; C o l u m n 1 4 0 & l t ; / s t r i n g & g t ; & l t ; / k e y & g t ; & l t ; v a l u e & g t ; & l t ; i n t & g t ; 1 3 2 & l t ; / i n t & g t ; & l t ; / v a l u e & g t ; & l t ; / i t e m & g t ; & l t ; i t e m & g t ; & l t ; k e y & g t ; & l t ; s t r i n g & g t ; C o l u m n 1 4 1 & l t ; / s t r i n g & g t ; & l t ; / k e y & g t ; & l t ; v a l u e & g t ; & l t ; i n t & g t ; 1 3 2 & l t ; / i n t & g t ; & l t ; / v a l u e & g t ; & l t ; / i t e m & g t ; & l t ; i t e m & g t ; & l t ; k e y & g t ; & l t ; s t r i n g & g t ; C o l u m n 1 4 2 & l t ; / s t r i n g & g t ; & l t ; / k e y & g t ; & l t ; v a l u e & g t ; & l t ; i n t & g t ; 1 3 2 & l t ; / i n t & g t ; & l t ; / v a l u e & g t ; & l t ; / i t e m & g t ; & l t ; i t e m & g t ; & l t ; k e y & g t ; & l t ; s t r i n g & g t ; C o l u m n 1 4 3 & l t ; / s t r i n g & g t ; & l t ; / k e y & g t ; & l t ; v a l u e & g t ; & l t ; i n t & g t ; 1 3 2 & l t ; / i n t & g t ; & l t ; / v a l u e & g t ; & l t ; / i t e m & g t ; & l t ; i t e m & g t ; & l t ; k e y & g t ; & l t ; s t r i n g & g t ; C o l u m n 1 4 4 & l t ; / s t r i n g & g t ; & l t ; / k e y & g t ; & l t ; v a l u e & g t ; & l t ; i n t & g t ; 1 3 2 & l t ; / i n t & g t ; & l t ; / v a l u e & g t ; & l t ; / i t e m & g t ; & l t ; i t e m & g t ; & l t ; k e y & g t ; & l t ; s t r i n g & g t ; C o l u m n 1 4 5 & l t ; / s t r i n g & g t ; & l t ; / k e y & g t ; & l t ; v a l u e & g t ; & l t ; i n t & g t ; 1 3 2 & l t ; / i n t & g t ; & l t ; / v a l u e & g t ; & l t ; / i t e m & g t ; & l t ; i t e m & g t ; & l t ; k e y & g t ; & l t ; s t r i n g & g t ; C o l u m n 1 4 6 & l t ; / s t r i n g & g t ; & l t ; / k e y & g t ; & l t ; v a l u e & g t ; & l t ; i n t & g t ; 1 3 2 & l t ; / i n t & g t ; & l t ; / v a l u e & g t ; & l t ; / i t e m & g t ; & l t ; i t e m & g t ; & l t ; k e y & g t ; & l t ; s t r i n g & g t ; C o l u m n 1 4 7 & l t ; / s t r i n g & g t ; & l t ; / k e y & g t ; & l t ; v a l u e & g t ; & l t ; i n t & g t ; 1 3 2 & l t ; / i n t & g t ; & l t ; / v a l u e & g t ; & l t ; / i t e m & g t ; & l t ; i t e m & g t ; & l t ; k e y & g t ; & l t ; s t r i n g & g t ; C o l u m n 1 4 8 & l t ; / s t r i n g & g t ; & l t ; / k e y & g t ; & l t ; v a l u e & g t ; & l t ; i n t & g t ; 1 3 2 & l t ; / i n t & g t ; & l t ; / v a l u e & g t ; & l t ; / i t e m & g t ; & l t ; i t e m & g t ; & l t ; k e y & g t ; & l t ; s t r i n g & g t ; C o l u m n 1 4 9 & l t ; / s t r i n g & g t ; & l t ; / k e y & g t ; & l t ; v a l u e & g t ; & l t ; i n t & g t ; 1 3 2 & l t ; / i n t & g t ; & l t ; / v a l u e & g t ; & l t ; / i t e m & g t ; & l t ; i t e m & g t ; & l t ; k e y & g t ; & l t ; s t r i n g & g t ; C o l u m n 1 5 0 & l t ; / s t r i n g & g t ; & l t ; / k e y & g t ; & l t ; v a l u e & g t ; & l t ; i n t & g t ; 1 3 2 & l t ; / i n t & g t ; & l t ; / v a l u e & g t ; & l t ; / i t e m & g t ; & l t ; i t e m & g t ; & l t ; k e y & g t ; & l t ; s t r i n g & g t ; C o l u m n 1 5 1 & l t ; / s t r i n g & g t ; & l t ; / k e y & g t ; & l t ; v a l u e & g t ; & l t ; i n t & g t ; 1 3 2 & l t ; / i n t & g t ; & l t ; / v a l u e & g t ; & l t ; / i t e m & g t ; & l t ; i t e m & g t ; & l t ; k e y & g t ; & l t ; s t r i n g & g t ; C o l u m n 1 5 2 & l t ; / s t r i n g & g t ; & l t ; / k e y & g t ; & l t ; v a l u e & g t ; & l t ; i n t & g t ; 1 3 2 & l t ; / i n t & g t ; & l t ; / v a l u e & g t ; & l t ; / i t e m & g t ; & l t ; i t e m & g t ; & l t ; k e y & g t ; & l t ; s t r i n g & g t ; C o l u m n 1 5 3 & l t ; / s t r i n g & g t ; & l t ; / k e y & g t ; & l t ; v a l u e & g t ; & l t ; i n t & g t ; 1 3 2 & l t ; / i n t & g t ; & l t ; / v a l u e & g t ; & l t ; / i t e m & g t ; & l t ; i t e m & g t ; & l t ; k e y & g t ; & l t ; s t r i n g & g t ; C o l u m n 1 5 4 & l t ; / s t r i n g & g t ; & l t ; / k e y & g t ; & l t ; v a l u e & g t ; & l t ; i n t & g t ; 1 3 2 & l t ; / i n t & g t ; & l t ; / v a l u e & g t ; & l t ; / i t e m & g t ; & l t ; i t e m & g t ; & l t ; k e y & g t ; & l t ; s t r i n g & g t ; C o l u m n 1 5 5 & l t ; / s t r i n g & g t ; & l t ; / k e y & g t ; & l t ; v a l u e & g t ; & l t ; i n t & g t ; 1 3 2 & l t ; / i n t & g t ; & l t ; / v a l u e & g t ; & l t ; / i t e m & g t ; & l t ; i t e m & g t ; & l t ; k e y & g t ; & l t ; s t r i n g & g t ; C o l u m n 1 5 6 & l t ; / s t r i n g & g t ; & l t ; / k e y & g t ; & l t ; v a l u e & g t ; & l t ; i n t & g t ; 1 3 2 & l t ; / i n t & g t ; & l t ; / v a l u e & g t ; & l t ; / i t e m & g t ; & l t ; i t e m & g t ; & l t ; k e y & g t ; & l t ; s t r i n g & g t ; C o l u m n 1 5 7 & l t ; / s t r i n g & g t ; & l t ; / k e y & g t ; & l t ; v a l u e & g t ; & l t ; i n t & g t ; 1 3 2 & l t ; / i n t & g t ; & l t ; / v a l u e & g t ; & l t ; / i t e m & g t ; & l t ; i t e m & g t ; & l t ; k e y & g t ; & l t ; s t r i n g & g t ; C o l u m n 1 5 8 & l t ; / s t r i n g & g t ; & l t ; / k e y & g t ; & l t ; v a l u e & g t ; & l t ; i n t & g t ; 1 3 2 & l t ; / i n t & g t ; & l t ; / v a l u e & g t ; & l t ; / i t e m & g t ; & l t ; i t e m & g t ; & l t ; k e y & g t ; & l t ; s t r i n g & g t ; C o l u m n 1 5 9 & l t ; / s t r i n g & g t ; & l t ; / k e y & g t ; & l t ; v a l u e & g t ; & l t ; i n t & g t ; 1 3 2 & l t ; / i n t & g t ; & l t ; / v a l u e & g t ; & l t ; / i t e m & g t ; & l t ; i t e m & g t ; & l t ; k e y & g t ; & l t ; s t r i n g & g t ; C o l u m n 1 6 0 & l t ; / s t r i n g & g t ; & l t ; / k e y & g t ; & l t ; v a l u e & g t ; & l t ; i n t & g t ; 1 3 2 & l t ; / i n t & g t ; & l t ; / v a l u e & g t ; & l t ; / i t e m & g t ; & l t ; i t e m & g t ; & l t ; k e y & g t ; & l t ; s t r i n g & g t ; C o l u m n 1 6 1 & l t ; / s t r i n g & g t ; & l t ; / k e y & g t ; & l t ; v a l u e & g t ; & l t ; i n t & g t ; 1 3 2 & l t ; / i n t & g t ; & l t ; / v a l u e & g t ; & l t ; / i t e m & g t ; & l t ; i t e m & g t ; & l t ; k e y & g t ; & l t ; s t r i n g & g t ; C o l u m n 1 6 2 & l t ; / s t r i n g & g t ; & l t ; / k e y & g t ; & l t ; v a l u e & g t ; & l t ; i n t & g t ; 1 3 2 & l t ; / i n t & g t ; & l t ; / v a l u e & g t ; & l t ; / i t e m & g t ; & l t ; i t e m & g t ; & l t ; k e y & g t ; & l t ; s t r i n g & g t ; C o l u m n 1 6 3 & l t ; / s t r i n g & g t ; & l t ; / k e y & g t ; & l t ; v a l u e & g t ; & l t ; i n t & g t ; 1 3 2 & l t ; / i n t & g t ; & l t ; / v a l u e & g t ; & l t ; / i t e m & g t ; & l t ; i t e m & g t ; & l t ; k e y & g t ; & l t ; s t r i n g & g t ; C o l u m n 1 6 4 & l t ; / s t r i n g & g t ; & l t ; / k e y & g t ; & l t ; v a l u e & g t ; & l t ; i n t & g t ; 1 3 2 & l t ; / i n t & g t ; & l t ; / v a l u e & g t ; & l t ; / i t e m & g t ; & l t ; i t e m & g t ; & l t ; k e y & g t ; & l t ; s t r i n g & g t ; C o l u m n 1 6 5 & l t ; / s t r i n g & g t ; & l t ; / k e y & g t ; & l t ; v a l u e & g t ; & l t ; i n t & g t ; 1 3 2 & l t ; / i n t & g t ; & l t ; / v a l u e & g t ; & l t ; / i t e m & g t ; & l t ; i t e m & g t ; & l t ; k e y & g t ; & l t ; s t r i n g & g t ; C o l u m n 1 6 6 & l t ; / s t r i n g & g t ; & l t ; / k e y & g t ; & l t ; v a l u e & g t ; & l t ; i n t & g t ; 1 3 2 & l t ; / i n t & g t ; & l t ; / v a l u e & g t ; & l t ; / i t e m & g t ; & l t ; i t e m & g t ; & l t ; k e y & g t ; & l t ; s t r i n g & g t ; C o l u m n 1 6 7 & l t ; / s t r i n g & g t ; & l t ; / k e y & g t ; & l t ; v a l u e & g t ; & l t ; i n t & g t ; 1 3 2 & l t ; / i n t & g t ; & l t ; / v a l u e & g t ; & l t ; / i t e m & g t ; & l t ; i t e m & g t ; & l t ; k e y & g t ; & l t ; s t r i n g & g t ; C o l u m n 1 6 8 & l t ; / s t r i n g & g t ; & l t ; / k e y & g t ; & l t ; v a l u e & g t ; & l t ; i n t & g t ; 1 3 2 & l t ; / i n t & g t ; & l t ; / v a l u e & g t ; & l t ; / i t e m & g t ; & l t ; i t e m & g t ; & l t ; k e y & g t ; & l t ; s t r i n g & g t ; C o l u m n 1 6 9 & l t ; / s t r i n g & g t ; & l t ; / k e y & g t ; & l t ; v a l u e & g t ; & l t ; i n t & g t ; 1 3 2 & l t ; / i n t & g t ; & l t ; / v a l u e & g t ; & l t ; / i t e m & g t ; & l t ; i t e m & g t ; & l t ; k e y & g t ; & l t ; s t r i n g & g t ; C o l u m n 1 7 0 & l t ; / s t r i n g & g t ; & l t ; / k e y & g t ; & l t ; v a l u e & g t ; & l t ; i n t & g t ; 1 3 2 & l t ; / i n t & g t ; & l t ; / v a l u e & g t ; & l t ; / i t e m & g t ; & l t ; i t e m & g t ; & l t ; k e y & g t ; & l t ; s t r i n g & g t ; C o l u m n 1 7 1 & l t ; / s t r i n g & g t ; & l t ; / k e y & g t ; & l t ; v a l u e & g t ; & l t ; i n t & g t ; 1 3 2 & l t ; / i n t & g t ; & l t ; / v a l u e & g t ; & l t ; / i t e m & g t ; & l t ; i t e m & g t ; & l t ; k e y & g t ; & l t ; s t r i n g & g t ; C o l u m n 1 7 2 & l t ; / s t r i n g & g t ; & l t ; / k e y & g t ; & l t ; v a l u e & g t ; & l t ; i n t & g t ; 1 3 2 & l t ; / i n t & g t ; & l t ; / v a l u e & g t ; & l t ; / i t e m & g t ; & l t ; i t e m & g t ; & l t ; k e y & g t ; & l t ; s t r i n g & g t ; C o l u m n 1 7 3 & l t ; / s t r i n g & g t ; & l t ; / k e y & g t ; & l t ; v a l u e & g t ; & l t ; i n t & g t ; 1 3 2 & l t ; / i n t & g t ; & l t ; / v a l u e & g t ; & l t ; / i t e m & g t ; & l t ; i t e m & g t ; & l t ; k e y & g t ; & l t ; s t r i n g & g t ; C o l u m n 1 7 4 & l t ; / s t r i n g & g t ; & l t ; / k e y & g t ; & l t ; v a l u e & g t ; & l t ; i n t & g t ; 1 3 2 & l t ; / i n t & g t ; & l t ; / v a l u e & g t ; & l t ; / i t e m & g t ; & l t ; i t e m & g t ; & l t ; k e y & g t ; & l t ; s t r i n g & g t ; C o l u m n 1 7 5 & l t ; / s t r i n g & g t ; & l t ; / k e y & g t ; & l t ; v a l u e & g t ; & l t ; i n t & g t ; 1 3 2 & l t ; / i n t & g t ; & l t ; / v a l u e & g t ; & l t ; / i t e m & g t ; & l t ; i t e m & g t ; & l t ; k e y & g t ; & l t ; s t r i n g & g t ; C o l u m n 1 7 6 & l t ; / s t r i n g & g t ; & l t ; / k e y & g t ; & l t ; v a l u e & g t ; & l t ; i n t & g t ; 1 3 2 & l t ; / i n t & g t ; & l t ; / v a l u e & g t ; & l t ; / i t e m & g t ; & l t ; i t e m & g t ; & l t ; k e y & g t ; & l t ; s t r i n g & g t ; C o l u m n 1 7 7 & l t ; / s t r i n g & g t ; & l t ; / k e y & g t ; & l t ; v a l u e & g t ; & l t ; i n t & g t ; 1 3 2 & l t ; / i n t & g t ; & l t ; / v a l u e & g t ; & l t ; / i t e m & g t ; & l t ; i t e m & g t ; & l t ; k e y & g t ; & l t ; s t r i n g & g t ; C o l u m n 1 7 8 & l t ; / s t r i n g & g t ; & l t ; / k e y & g t ; & l t ; v a l u e & g t ; & l t ; i n t & g t ; 1 3 2 & l t ; / i n t & g t ; & l t ; / v a l u e & g t ; & l t ; / i t e m & g t ; & l t ; i t e m & g t ; & l t ; k e y & g t ; & l t ; s t r i n g & g t ; C o l u m n 1 7 9 & l t ; / s t r i n g & g t ; & l t ; / k e y & g t ; & l t ; v a l u e & g t ; & l t ; i n t & g t ; 1 3 2 & l t ; / i n t & g t ; & l t ; / v a l u e & g t ; & l t ; / i t e m & g t ; & l t ; i t e m & g t ; & l t ; k e y & g t ; & l t ; s t r i n g & g t ; C o l u m n 1 8 0 & l t ; / s t r i n g & g t ; & l t ; / k e y & g t ; & l t ; v a l u e & g t ; & l t ; i n t & g t ; 1 3 2 & l t ; / i n t & g t ; & l t ; / v a l u e & g t ; & l t ; / i t e m & g t ; & l t ; i t e m & g t ; & l t ; k e y & g t ; & l t ; s t r i n g & g t ; C o l u m n 1 8 1 & l t ; / s t r i n g & g t ; & l t ; / k e y & g t ; & l t ; v a l u e & g t ; & l t ; i n t & g t ; 1 3 2 & l t ; / i n t & g t ; & l t ; / v a l u e & g t ; & l t ; / i t e m & g t ; & l t ; i t e m & g t ; & l t ; k e y & g t ; & l t ; s t r i n g & g t ; C o l u m n 1 8 2 & l t ; / s t r i n g & g t ; & l t ; / k e y & g t ; & l t ; v a l u e & g t ; & l t ; i n t & g t ; 1 3 2 & l t ; / i n t & g t ; & l t ; / v a l u e & g t ; & l t ; / i t e m & g t ; & l t ; i t e m & g t ; & l t ; k e y & g t ; & l t ; s t r i n g & g t ; C o l u m n 1 8 3 & l t ; / s t r i n g & g t ; & l t ; / k e y & g t ; & l t ; v a l u e & g t ; & l t ; i n t & g t ; 1 3 2 & l t ; / i n t & g t ; & l t ; / v a l u e & g t ; & l t ; / i t e m & g t ; & l t ; i t e m & g t ; & l t ; k e y & g t ; & l t ; s t r i n g & g t ; C o l u m n 1 8 4 & l t ; / s t r i n g & g t ; & l t ; / k e y & g t ; & l t ; v a l u e & g t ; & l t ; i n t & g t ; 1 3 2 & l t ; / i n t & g t ; & l t ; / v a l u e & g t ; & l t ; / i t e m & g t ; & l t ; i t e m & g t ; & l t ; k e y & g t ; & l t ; s t r i n g & g t ; C o l u m n 1 8 5 & l t ; / s t r i n g & g t ; & l t ; / k e y & g t ; & l t ; v a l u e & g t ; & l t ; i n t & g t ; 1 3 2 & l t ; / i n t & g t ; & l t ; / v a l u e & g t ; & l t ; / i t e m & g t ; & l t ; i t e m & g t ; & l t ; k e y & g t ; & l t ; s t r i n g & g t ; C o l u m n 1 8 6 & l t ; / s t r i n g & g t ; & l t ; / k e y & g t ; & l t ; v a l u e & g t ; & l t ; i n t & g t ; 1 3 2 & l t ; / i n t & g t ; & l t ; / v a l u e & g t ; & l t ; / i t e m & g t ; & l t ; i t e m & g t ; & l t ; k e y & g t ; & l t ; s t r i n g & g t ; C o l u m n 1 8 7 & l t ; / s t r i n g & g t ; & l t ; / k e y & g t ; & l t ; v a l u e & g t ; & l t ; i n t & g t ; 1 3 2 & l t ; / i n t & g t ; & l t ; / v a l u e & g t ; & l t ; / i t e m & g t ; & l t ; i t e m & g t ; & l t ; k e y & g t ; & l t ; s t r i n g & g t ; C o l u m n 1 8 8 & l t ; / s t r i n g & g t ; & l t ; / k e y & g t ; & l t ; v a l u e & g t ; & l t ; i n t & g t ; 1 3 2 & l t ; / i n t & g t ; & l t ; / v a l u e & g t ; & l t ; / i t e m & g t ; & l t ; i t e m & g t ; & l t ; k e y & g t ; & l t ; s t r i n g & g t ; C o l u m n 1 8 9 & l t ; / s t r i n g & g t ; & l t ; / k e y & g t ; & l t ; v a l u e & g t ; & l t ; i n t & g t ; 1 3 2 & l t ; / i n t & g t ; & l t ; / v a l u e & g t ; & l t ; / i t e m & g t ; & l t ; i t e m & g t ; & l t ; k e y & g t ; & l t ; s t r i n g & g t ; C o l u m n 1 9 0 & l t ; / s t r i n g & g t ; & l t ; / k e y & g t ; & l t ; v a l u e & g t ; & l t ; i n t & g t ; 1 3 2 & l t ; / i n t & g t ; & l t ; / v a l u e & g t ; & l t ; / i t e m & g t ; & l t ; i t e m & g t ; & l t ; k e y & g t ; & l t ; s t r i n g & g t ; C o l u m n 1 9 1 & l t ; / s t r i n g & g t ; & l t ; / k e y & g t ; & l t ; v a l u e & g t ; & l t ; i n t & g t ; 1 3 2 & l t ; / i n t & g t ; & l t ; / v a l u e & g t ; & l t ; / i t e m & g t ; & l t ; i t e m & g t ; & l t ; k e y & g t ; & l t ; s t r i n g & g t ; C o l u m n 1 9 2 & l t ; / s t r i n g & g t ; & l t ; / k e y & g t ; & l t ; v a l u e & g t ; & l t ; i n t & g t ; 1 3 2 & l t ; / i n t & g t ; & l t ; / v a l u e & g t ; & l t ; / i t e m & g t ; & l t ; i t e m & g t ; & l t ; k e y & g t ; & l t ; s t r i n g & g t ; C o l u m n 1 9 3 & l t ; / s t r i n g & g t ; & l t ; / k e y & g t ; & l t ; v a l u e & g t ; & l t ; i n t & g t ; 1 3 2 & l t ; / i n t & g t ; & l t ; / v a l u e & g t ; & l t ; / i t e m & g t ; & l t ; i t e m & g t ; & l t ; k e y & g t ; & l t ; s t r i n g & g t ; C o l u m n 1 9 4 & l t ; / s t r i n g & g t ; & l t ; / k e y & g t ; & l t ; v a l u e & g t ; & l t ; i n t & g t ; 1 3 2 & l t ; / i n t & g t ; & l t ; / v a l u e & g t ; & l t ; / i t e m & g t ; & l t ; i t e m & g t ; & l t ; k e y & g t ; & l t ; s t r i n g & g t ; C o l u m n 1 9 5 & l t ; / s t r i n g & g t ; & l t ; / k e y & g t ; & l t ; v a l u e & g t ; & l t ; i n t & g t ; 1 3 2 & l t ; / i n t & g t ; & l t ; / v a l u e & g t ; & l t ; / i t e m & g t ; & l t ; i t e m & g t ; & l t ; k e y & g t ; & l t ; s t r i n g & g t ; C o l u m n 1 9 6 & l t ; / s t r i n g & g t ; & l t ; / k e y & g t ; & l t ; v a l u e & g t ; & l t ; i n t & g t ; 1 3 2 & l t ; / i n t & g t ; & l t ; / v a l u e & g t ; & l t ; / i t e m & g t ; & l t ; i t e m & g t ; & l t ; k e y & g t ; & l t ; s t r i n g & g t ; C o l u m n 1 9 7 & l t ; / s t r i n g & g t ; & l t ; / k e y & g t ; & l t ; v a l u e & g t ; & l t ; i n t & g t ; 1 3 2 & l t ; / i n t & g t ; & l t ; / v a l u e & g t ; & l t ; / i t e m & g t ; & l t ; i t e m & g t ; & l t ; k e y & g t ; & l t ; s t r i n g & g t ; C o l u m n 1 9 8 & l t ; / s t r i n g & g t ; & l t ; / k e y & g t ; & l t ; v a l u e & g t ; & l t ; i n t & g t ; 1 3 2 & l t ; / i n t & g t ; & l t ; / v a l u e & g t ; & l t ; / i t e m & g t ; & l t ; i t e m & g t ; & l t ; k e y & g t ; & l t ; s t r i n g & g t ; C o l u m n 1 9 9 & l t ; / s t r i n g & g t ; & l t ; / k e y & g t ; & l t ; v a l u e & g t ; & l t ; i n t & g t ; 1 3 2 & l t ; / i n t & g t ; & l t ; / v a l u e & g t ; & l t ; / i t e m & g t ; & l t ; i t e m & g t ; & l t ; k e y & g t ; & l t ; s t r i n g & g t ; C o l u m n 2 0 0 & l t ; / s t r i n g & g t ; & l t ; / k e y & g t ; & l t ; v a l u e & g t ; & l t ; i n t & g t ; 1 3 2 & l t ; / i n t & g t ; & l t ; / v a l u e & g t ; & l t ; / i t e m & g t ; & l t ; i t e m & g t ; & l t ; k e y & g t ; & l t ; s t r i n g & g t ; C o l u m n 2 0 1 & l t ; / s t r i n g & g t ; & l t ; / k e y & g t ; & l t ; v a l u e & g t ; & l t ; i n t & g t ; 1 3 2 & l t ; / i n t & g t ; & l t ; / v a l u e & g t ; & l t ; / i t e m & g t ; & l t ; i t e m & g t ; & l t ; k e y & g t ; & l t ; s t r i n g & g t ; C o l u m n 2 0 2 & l t ; / s t r i n g & g t ; & l t ; / k e y & g t ; & l t ; v a l u e & g t ; & l t ; i n t & g t ; 1 3 2 & l t ; / i n t & g t ; & l t ; / v a l u e & g t ; & l t ; / i t e m & g t ; & l t ; i t e m & g t ; & l t ; k e y & g t ; & l t ; s t r i n g & g t ; C o l u m n 2 0 3 & l t ; / s t r i n g & g t ; & l t ; / k e y & g t ; & l t ; v a l u e & g t ; & l t ; i n t & g t ; 1 3 2 & l t ; / i n t & g t ; & l t ; / v a l u e & g t ; & l t ; / i t e m & g t ; & l t ; i t e m & g t ; & l t ; k e y & g t ; & l t ; s t r i n g & g t ; C o l u m n 2 0 4 & l t ; / s t r i n g & g t ; & l t ; / k e y & g t ; & l t ; v a l u e & g t ; & l t ; i n t & g t ; 1 3 2 & l t ; / i n t & g t ; & l t ; / v a l u e & g t ; & l t ; / i t e m & g t ; & l t ; i t e m & g t ; & l t ; k e y & g t ; & l t ; s t r i n g & g t ; C o l u m n 2 0 5 & l t ; / s t r i n g & g t ; & l t ; / k e y & g t ; & l t ; v a l u e & g t ; & l t ; i n t & g t ; 1 3 2 & l t ; / i n t & g t ; & l t ; / v a l u e & g t ; & l t ; / i t e m & g t ; & l t ; i t e m & g t ; & l t ; k e y & g t ; & l t ; s t r i n g & g t ; C o l u m n 2 0 6 & l t ; / s t r i n g & g t ; & l t ; / k e y & g t ; & l t ; v a l u e & g t ; & l t ; i n t & g t ; 1 3 2 & l t ; / i n t & g t ; & l t ; / v a l u e & g t ; & l t ; / i t e m & g t ; & l t ; i t e m & g t ; & l t ; k e y & g t ; & l t ; s t r i n g & g t ; C o l u m n 2 0 7 & l t ; / s t r i n g & g t ; & l t ; / k e y & g t ; & l t ; v a l u e & g t ; & l t ; i n t & g t ; 1 3 2 & l t ; / i n t & g t ; & l t ; / v a l u e & g t ; & l t ; / i t e m & g t ; & l t ; i t e m & g t ; & l t ; k e y & g t ; & l t ; s t r i n g & g t ; C o l u m n 2 0 8 & l t ; / s t r i n g & g t ; & l t ; / k e y & g t ; & l t ; v a l u e & g t ; & l t ; i n t & g t ; 1 3 2 & l t ; / i n t & g t ; & l t ; / v a l u e & g t ; & l t ; / i t e m & g t ; & l t ; i t e m & g t ; & l t ; k e y & g t ; & l t ; s t r i n g & g t ; C o l u m n 2 0 9 & l t ; / s t r i n g & g t ; & l t ; / k e y & g t ; & l t ; v a l u e & g t ; & l t ; i n t & g t ; 1 3 2 & l t ; / i n t & g t ; & l t ; / v a l u e & g t ; & l t ; / i t e m & g t ; & l t ; i t e m & g t ; & l t ; k e y & g t ; & l t ; s t r i n g & g t ; C o l u m n 2 1 0 & l t ; / s t r i n g & g t ; & l t ; / k e y & g t ; & l t ; v a l u e & g t ; & l t ; i n t & g t ; 1 3 2 & l t ; / i n t & g t ; & l t ; / v a l u e & g t ; & l t ; / i t e m & g t ; & l t ; i t e m & g t ; & l t ; k e y & g t ; & l t ; s t r i n g & g t ; C o l u m n 2 1 1 & l t ; / s t r i n g & g t ; & l t ; / k e y & g t ; & l t ; v a l u e & g t ; & l t ; i n t & g t ; 1 3 2 & l t ; / i n t & g t ; & l t ; / v a l u e & g t ; & l t ; / i t e m & g t ; & l t ; i t e m & g t ; & l t ; k e y & g t ; & l t ; s t r i n g & g t ; C o l u m n 2 1 2 & l t ; / s t r i n g & g t ; & l t ; / k e y & g t ; & l t ; v a l u e & g t ; & l t ; i n t & g t ; 1 3 2 & l t ; / i n t & g t ; & l t ; / v a l u e & g t ; & l t ; / i t e m & g t ; & l t ; i t e m & g t ; & l t ; k e y & g t ; & l t ; s t r i n g & g t ; C o l u m n 2 1 3 & l t ; / s t r i n g & g t ; & l t ; / k e y & g t ; & l t ; v a l u e & g t ; & l t ; i n t & g t ; 1 3 2 & l t ; / i n t & g t ; & l t ; / v a l u e & g t ; & l t ; / i t e m & g t ; & l t ; i t e m & g t ; & l t ; k e y & g t ; & l t ; s t r i n g & g t ; C o l u m n 2 1 4 & l t ; / s t r i n g & g t ; & l t ; / k e y & g t ; & l t ; v a l u e & g t ; & l t ; i n t & g t ; 1 3 2 & l t ; / i n t & g t ; & l t ; / v a l u e & g t ; & l t ; / i t e m & g t ; & l t ; i t e m & g t ; & l t ; k e y & g t ; & l t ; s t r i n g & g t ; C o l u m n 2 1 5 & l t ; / s t r i n g & g t ; & l t ; / k e y & g t ; & l t ; v a l u e & g t ; & l t ; i n t & g t ; 1 3 2 & l t ; / i n t & g t ; & l t ; / v a l u e & g t ; & l t ; / i t e m & g t ; & l t ; i t e m & g t ; & l t ; k e y & g t ; & l t ; s t r i n g & g t ; C o l u m n 2 1 6 & l t ; / s t r i n g & g t ; & l t ; / k e y & g t ; & l t ; v a l u e & g t ; & l t ; i n t & g t ; 1 3 2 & l t ; / i n t & g t ; & l t ; / v a l u e & g t ; & l t ; / i t e m & g t ; & l t ; i t e m & g t ; & l t ; k e y & g t ; & l t ; s t r i n g & g t ; C o l u m n 2 1 7 & l t ; / s t r i n g & g t ; & l t ; / k e y & g t ; & l t ; v a l u e & g t ; & l t ; i n t & g t ; 1 3 2 & l t ; / i n t & g t ; & l t ; / v a l u e & g t ; & l t ; / i t e m & g t ; & l t ; i t e m & g t ; & l t ; k e y & g t ; & l t ; s t r i n g & g t ; C o l u m n 2 1 8 & l t ; / s t r i n g & g t ; & l t ; / k e y & g t ; & l t ; v a l u e & g t ; & l t ; i n t & g t ; 1 3 2 & l t ; / i n t & g t ; & l t ; / v a l u e & g t ; & l t ; / i t e m & g t ; & l t ; i t e m & g t ; & l t ; k e y & g t ; & l t ; s t r i n g & g t ; C o l u m n 2 1 9 & l t ; / s t r i n g & g t ; & l t ; / k e y & g t ; & l t ; v a l u e & g t ; & l t ; i n t & g t ; 1 3 2 & l t ; / i n t & g t ; & l t ; / v a l u e & g t ; & l t ; / i t e m & g t ; & l t ; i t e m & g t ; & l t ; k e y & g t ; & l t ; s t r i n g & g t ; C o l u m n 2 2 0 & l t ; / s t r i n g & g t ; & l t ; / k e y & g t ; & l t ; v a l u e & g t ; & l t ; i n t & g t ; 1 3 2 & l t ; / i n t & g t ; & l t ; / v a l u e & g t ; & l t ; / i t e m & g t ; & l t ; i t e m & g t ; & l t ; k e y & g t ; & l t ; s t r i n g & g t ; C o l u m n 2 2 1 & l t ; / s t r i n g & g t ; & l t ; / k e y & g t ; & l t ; v a l u e & g t ; & l t ; i n t & g t ; 1 3 2 & l t ; / i n t & g t ; & l t ; / v a l u e & g t ; & l t ; / i t e m & g t ; & l t ; i t e m & g t ; & l t ; k e y & g t ; & l t ; s t r i n g & g t ; C o l u m n 2 2 2 & l t ; / s t r i n g & g t ; & l t ; / k e y & g t ; & l t ; v a l u e & g t ; & l t ; i n t & g t ; 1 3 2 & l t ; / i n t & g t ; & l t ; / v a l u e & g t ; & l t ; / i t e m & g t ; & l t ; i t e m & g t ; & l t ; k e y & g t ; & l t ; s t r i n g & g t ; C o l u m n 2 2 3 & l t ; / s t r i n g & g t ; & l t ; / k e y & g t ; & l t ; v a l u e & g t ; & l t ; i n t & g t ; 1 3 2 & l t ; / i n t & g t ; & l t ; / v a l u e & g t ; & l t ; / i t e m & g t ; & l t ; i t e m & g t ; & l t ; k e y & g t ; & l t ; s t r i n g & g t ; C o l u m n 2 2 4 & l t ; / s t r i n g & g t ; & l t ; / k e y & g t ; & l t ; v a l u e & g t ; & l t ; i n t & g t ; 1 3 2 & l t ; / i n t & g t ; & l t ; / v a l u e & g t ; & l t ; / i t e m & g t ; & l t ; i t e m & g t ; & l t ; k e y & g t ; & l t ; s t r i n g & g t ; C o l u m n 2 2 5 & l t ; / s t r i n g & g t ; & l t ; / k e y & g t ; & l t ; v a l u e & g t ; & l t ; i n t & g t ; 1 3 2 & l t ; / i n t & g t ; & l t ; / v a l u e & g t ; & l t ; / i t e m & g t ; & l t ; i t e m & g t ; & l t ; k e y & g t ; & l t ; s t r i n g & g t ; C o l u m n 2 2 6 & l t ; / s t r i n g & g t ; & l t ; / k e y & g t ; & l t ; v a l u e & g t ; & l t ; i n t & g t ; 1 3 2 & l t ; / i n t & g t ; & l t ; / v a l u e & g t ; & l t ; / i t e m & g t ; & l t ; i t e m & g t ; & l t ; k e y & g t ; & l t ; s t r i n g & g t ; C o l u m n 2 2 7 & l t ; / s t r i n g & g t ; & l t ; / k e y & g t ; & l t ; v a l u e & g t ; & l t ; i n t & g t ; 1 3 2 & l t ; / i n t & g t ; & l t ; / v a l u e & g t ; & l t ; / i t e m & g t ; & l t ; i t e m & g t ; & l t ; k e y & g t ; & l t ; s t r i n g & g t ; C o l u m n 2 2 8 & l t ; / s t r i n g & g t ; & l t ; / k e y & g t ; & l t ; v a l u e & g t ; & l t ; i n t & g t ; 1 3 2 & l t ; / i n t & g t ; & l t ; / v a l u e & g t ; & l t ; / i t e m & g t ; & l t ; i t e m & g t ; & l t ; k e y & g t ; & l t ; s t r i n g & g t ; C o l u m n 2 2 9 & l t ; / s t r i n g & g t ; & l t ; / k e y & g t ; & l t ; v a l u e & g t ; & l t ; i n t & g t ; 1 3 2 & l t ; / i n t & g t ; & l t ; / v a l u e & g t ; & l t ; / i t e m & g t ; & l t ; i t e m & g t ; & l t ; k e y & g t ; & l t ; s t r i n g & g t ; C o l u m n 2 3 0 & l t ; / s t r i n g & g t ; & l t ; / k e y & g t ; & l t ; v a l u e & g t ; & l t ; i n t & g t ; 1 3 2 & l t ; / i n t & g t ; & l t ; / v a l u e & g t ; & l t ; / i t e m & g t ; & l t ; i t e m & g t ; & l t ; k e y & g t ; & l t ; s t r i n g & g t ; C o l u m n 2 3 1 & l t ; / s t r i n g & g t ; & l t ; / k e y & g t ; & l t ; v a l u e & g t ; & l t ; i n t & g t ; 1 3 2 & l t ; / i n t & g t ; & l t ; / v a l u e & g t ; & l t ; / i t e m & g t ; & l t ; i t e m & g t ; & l t ; k e y & g t ; & l t ; s t r i n g & g t ; C o l u m n 2 3 2 & l t ; / s t r i n g & g t ; & l t ; / k e y & g t ; & l t ; v a l u e & g t ; & l t ; i n t & g t ; 1 3 2 & l t ; / i n t & g t ; & l t ; / v a l u e & g t ; & l t ; / i t e m & g t ; & l t ; i t e m & g t ; & l t ; k e y & g t ; & l t ; s t r i n g & g t ; C o l u m n 2 3 3 & l t ; / s t r i n g & g t ; & l t ; / k e y & g t ; & l t ; v a l u e & g t ; & l t ; i n t & g t ; 1 3 2 & l t ; / i n t & g t ; & l t ; / v a l u e & g t ; & l t ; / i t e m & g t ; & l t ; i t e m & g t ; & l t ; k e y & g t ; & l t ; s t r i n g & g t ; C o l u m n 2 3 4 & l t ; / s t r i n g & g t ; & l t ; / k e y & g t ; & l t ; v a l u e & g t ; & l t ; i n t & g t ; 1 3 2 & l t ; / i n t & g t ; & l t ; / v a l u e & g t ; & l t ; / i t e m & g t ; & l t ; i t e m & g t ; & l t ; k e y & g t ; & l t ; s t r i n g & g t ; C o l u m n 2 3 5 & l t ; / s t r i n g & g t ; & l t ; / k e y & g t ; & l t ; v a l u e & g t ; & l t ; i n t & g t ; 1 3 2 & l t ; / i n t & g t ; & l t ; / v a l u e & g t ; & l t ; / i t e m & g t ; & l t ; i t e m & g t ; & l t ; k e y & g t ; & l t ; s t r i n g & g t ; C o l u m n 2 3 6 & l t ; / s t r i n g & g t ; & l t ; / k e y & g t ; & l t ; v a l u e & g t ; & l t ; i n t & g t ; 1 3 2 & l t ; / i n t & g t ; & l t ; / v a l u e & g t ; & l t ; / i t e m & g t ; & l t ; i t e m & g t ; & l t ; k e y & g t ; & l t ; s t r i n g & g t ; C o l u m n 2 3 7 & l t ; / s t r i n g & g t ; & l t ; / k e y & g t ; & l t ; v a l u e & g t ; & l t ; i n t & g t ; 1 3 2 & l t ; / i n t & g t ; & l t ; / v a l u e & g t ; & l t ; / i t e m & g t ; & l t ; i t e m & g t ; & l t ; k e y & g t ; & l t ; s t r i n g & g t ; C o l u m n 2 3 8 & l t ; / s t r i n g & g t ; & l t ; / k e y & g t ; & l t ; v a l u e & g t ; & l t ; i n t & g t ; 1 3 2 & l t ; / i n t & g t ; & l t ; / v a l u e & g t ; & l t ; / i t e m & g t ; & l t ; i t e m & g t ; & l t ; k e y & g t ; & l t ; s t r i n g & g t ; C o l u m n 2 3 9 & l t ; / s t r i n g & g t ; & l t ; / k e y & g t ; & l t ; v a l u e & g t ; & l t ; i n t & g t ; 1 3 2 & l t ; / i n t & g t ; & l t ; / v a l u e & g t ; & l t ; / i t e m & g t ; & l t ; i t e m & g t ; & l t ; k e y & g t ; & l t ; s t r i n g & g t ; C o l u m n 2 4 0 & l t ; / s t r i n g & g t ; & l t ; / k e y & g t ; & l t ; v a l u e & g t ; & l t ; i n t & g t ; 1 3 2 & l t ; / i n t & g t ; & l t ; / v a l u e & g t ; & l t ; / i t e m & g t ; & l t ; i t e m & g t ; & l t ; k e y & g t ; & l t ; s t r i n g & g t ; C o l u m n 2 4 1 & l t ; / s t r i n g & g t ; & l t ; / k e y & g t ; & l t ; v a l u e & g t ; & l t ; i n t & g t ; 1 3 2 & l t ; / i n t & g t ; & l t ; / v a l u e & g t ; & l t ; / i t e m & g t ; & l t ; i t e m & g t ; & l t ; k e y & g t ; & l t ; s t r i n g & g t ; C o l u m n 2 4 2 & l t ; / s t r i n g & g t ; & l t ; / k e y & g t ; & l t ; v a l u e & g t ; & l t ; i n t & g t ; 1 3 2 & l t ; / i n t & g t ; & l t ; / v a l u e & g t ; & l t ; / i t e m & g t ; & l t ; i t e m & g t ; & l t ; k e y & g t ; & l t ; s t r i n g & g t ; C o l u m n 2 4 3 & l t ; / s t r i n g & g t ; & l t ; / k e y & g t ; & l t ; v a l u e & g t ; & l t ; i n t & g t ; 1 3 2 & l t ; / i n t & g t ; & l t ; / v a l u e & g t ; & l t ; / i t e m & g t ; & l t ; i t e m & g t ; & l t ; k e y & g t ; & l t ; s t r i n g & g t ; C o l u m n 2 4 4 & l t ; / s t r i n g & g t ; & l t ; / k e y & g t ; & l t ; v a l u e & g t ; & l t ; i n t & g t ; 1 3 2 & l t ; / i n t & g t ; & l t ; / v a l u e & g t ; & l t ; / i t e m & g t ; & l t ; i t e m & g t ; & l t ; k e y & g t ; & l t ; s t r i n g & g t ; C o l u m n 2 4 5 & l t ; / s t r i n g & g t ; & l t ; / k e y & g t ; & l t ; v a l u e & g t ; & l t ; i n t & g t ; 1 3 2 & l t ; / i n t & g t ; & l t ; / v a l u e & g t ; & l t ; / i t e m & g t ; & l t ; i t e m & g t ; & l t ; k e y & g t ; & l t ; s t r i n g & g t ; C o l u m n 2 4 6 & l t ; / s t r i n g & g t ; & l t ; / k e y & g t ; & l t ; v a l u e & g t ; & l t ; i n t & g t ; 1 3 2 & l t ; / i n t & g t ; & l t ; / v a l u e & g t ; & l t ; / i t e m & g t ; & l t ; i t e m & g t ; & l t ; k e y & g t ; & l t ; s t r i n g & g t ; C o l u m n 2 4 7 & l t ; / s t r i n g & g t ; & l t ; / k e y & g t ; & l t ; v a l u e & g t ; & l t ; i n t & g t ; 1 3 2 & l t ; / i n t & g t ; & l t ; / v a l u e & g t ; & l t ; / i t e m & g t ; & l t ; i t e m & g t ; & l t ; k e y & g t ; & l t ; s t r i n g & g t ; C o l u m n 2 4 8 & l t ; / s t r i n g & g t ; & l t ; / k e y & g t ; & l t ; v a l u e & g t ; & l t ; i n t & g t ; 1 3 2 & l t ; / i n t & g t ; & l t ; / v a l u e & g t ; & l t ; / i t e m & g t ; & l t ; i t e m & g t ; & l t ; k e y & g t ; & l t ; s t r i n g & g t ; C o l u m n 2 4 9 & l t ; / s t r i n g & g t ; & l t ; / k e y & g t ; & l t ; v a l u e & g t ; & l t ; i n t & g t ; 1 3 2 & l t ; / i n t & g t ; & l t ; / v a l u e & g t ; & l t ; / i t e m & g t ; & l t ; i t e m & g t ; & l t ; k e y & g t ; & l t ; s t r i n g & g t ; C o l u m n 2 5 0 & l t ; / s t r i n g & g t ; & l t ; / k e y & g t ; & l t ; v a l u e & g t ; & l t ; i n t & g t ; 1 3 2 & l t ; / i n t & g t ; & l t ; / v a l u e & g t ; & l t ; / i t e m & g t ; & l t ; i t e m & g t ; & l t ; k e y & g t ; & l t ; s t r i n g & g t ; C o l u m n 2 5 1 & l t ; / s t r i n g & g t ; & l t ; / k e y & g t ; & l t ; v a l u e & g t ; & l t ; i n t & g t ; 1 3 2 & l t ; / i n t & g t ; & l t ; / v a l u e & g t ; & l t ; / i t e m & g t ; & l t ; i t e m & g t ; & l t ; k e y & g t ; & l t ; s t r i n g & g t ; C o l u m n 2 5 2 & l t ; / s t r i n g & g t ; & l t ; / k e y & g t ; & l t ; v a l u e & g t ; & l t ; i n t & g t ; 1 3 2 & l t ; / i n t & g t ; & l t ; / v a l u e & g t ; & l t ; / i t e m & g t ; & l t ; i t e m & g t ; & l t ; k e y & g t ; & l t ; s t r i n g & g t ; C o l u m n 2 5 3 & l t ; / s t r i n g & g t ; & l t ; / k e y & g t ; & l t ; v a l u e & g t ; & l t ; i n t & g t ; 1 3 2 & l t ; / i n t & g t ; & l t ; / v a l u e & g t ; & l t ; / i t e m & g t ; & l t ; i t e m & g t ; & l t ; k e y & g t ; & l t ; s t r i n g & g t ; C o l u m n 2 5 4 & l t ; / s t r i n g & g t ; & l t ; / k e y & g t ; & l t ; v a l u e & g t ; & l t ; i n t & g t ; 1 3 2 & l t ; / i n t & g t ; & l t ; / v a l u e & g t ; & l t ; / i t e m & g t ; & l t ; i t e m & g t ; & l t ; k e y & g t ; & l t ; s t r i n g & g t ; C o l u m n 2 5 5 & l t ; / s t r i n g & g t ; & l t ; / k e y & g t ; & l t ; v a l u e & g t ; & l t ; i n t & g t ; 1 3 2 & l t ; / i n t & g t ; & l t ; / v a l u e & g t ; & l t ; / i t e m & g t ; & l t ; i t e m & g t ; & l t ; k e y & g t ; & l t ; s t r i n g & g t ; C o l u m n 2 5 6 & l t ; / s t r i n g & g t ; & l t ; / k e y & g t ; & l t ; v a l u e & g t ; & l t ; i n t & g t ; 1 3 2 & l t ; / i n t & g t ; & l t ; / v a l u e & g t ; & l t ; / i t e m & g t ; & l t ; i t e m & g t ; & l t ; k e y & g t ; & l t ; s t r i n g & g t ; C o l u m n 2 5 7 & l t ; / s t r i n g & g t ; & l t ; / k e y & g t ; & l t ; v a l u e & g t ; & l t ; i n t & g t ; 1 3 2 & l t ; / i n t & g t ; & l t ; / v a l u e & g t ; & l t ; / i t e m & g t ; & l t ; i t e m & g t ; & l t ; k e y & g t ; & l t ; s t r i n g & g t ; C o l u m n 2 5 8 & l t ; / s t r i n g & g t ; & l t ; / k e y & g t ; & l t ; v a l u e & g t ; & l t ; i n t & g t ; 1 3 2 & l t ; / i n t & g t ; & l t ; / v a l u e & g t ; & l t ; / i t e m & g t ; & l t ; i t e m & g t ; & l t ; k e y & g t ; & l t ; s t r i n g & g t ; C o l u m n 2 5 9 & l t ; / s t r i n g & g t ; & l t ; / k e y & g t ; & l t ; v a l u e & g t ; & l t ; i n t & g t ; 1 3 2 & l t ; / i n t & g t ; & l t ; / v a l u e & g t ; & l t ; / i t e m & g t ; & l t ; i t e m & g t ; & l t ; k e y & g t ; & l t ; s t r i n g & g t ; C o l u m n 2 6 0 & l t ; / s t r i n g & g t ; & l t ; / k e y & g t ; & l t ; v a l u e & g t ; & l t ; i n t & g t ; 1 3 2 & l t ; / i n t & g t ; & l t ; / v a l u e & g t ; & l t ; / i t e m & g t ; & l t ; i t e m & g t ; & l t ; k e y & g t ; & l t ; s t r i n g & g t ; C o l u m n 2 6 1 & l t ; / s t r i n g & g t ; & l t ; / k e y & g t ; & l t ; v a l u e & g t ; & l t ; i n t & g t ; 1 3 2 & l t ; / i n t & g t ; & l t ; / v a l u e & g t ; & l t ; / i t e m & g t ; & l t ; i t e m & g t ; & l t ; k e y & g t ; & l t ; s t r i n g & g t ; C o l u m n 2 6 2 & l t ; / s t r i n g & g t ; & l t ; / k e y & g t ; & l t ; v a l u e & g t ; & l t ; i n t & g t ; 1 3 2 & l t ; / i n t & g t ; & l t ; / v a l u e & g t ; & l t ; / i t e m & g t ; & l t ; i t e m & g t ; & l t ; k e y & g t ; & l t ; s t r i n g & g t ; C o l u m n 2 6 3 & l t ; / s t r i n g & g t ; & l t ; / k e y & g t ; & l t ; v a l u e & g t ; & l t ; i n t & g t ; 1 3 2 & l t ; / i n t & g t ; & l t ; / v a l u e & g t ; & l t ; / i t e m & g t ; & l t ; i t e m & g t ; & l t ; k e y & g t ; & l t ; s t r i n g & g t ; C o l u m n 2 6 4 & l t ; / s t r i n g & g t ; & l t ; / k e y & g t ; & l t ; v a l u e & g t ; & l t ; i n t & g t ; 1 3 2 & l t ; / i n t & g t ; & l t ; / v a l u e & g t ; & l t ; / i t e m & g t ; & l t ; i t e m & g t ; & l t ; k e y & g t ; & l t ; s t r i n g & g t ; C o l u m n 2 6 5 & l t ; / s t r i n g & g t ; & l t ; / k e y & g t ; & l t ; v a l u e & g t ; & l t ; i n t & g t ; 1 3 2 & l t ; / i n t & g t ; & l t ; / v a l u e & g t ; & l t ; / i t e m & g t ; & l t ; i t e m & g t ; & l t ; k e y & g t ; & l t ; s t r i n g & g t ; C o l u m n 2 6 6 & l t ; / s t r i n g & g t ; & l t ; / k e y & g t ; & l t ; v a l u e & g t ; & l t ; i n t & g t ; 1 3 2 & l t ; / i n t & g t ; & l t ; / v a l u e & g t ; & l t ; / i t e m & g t ; & l t ; i t e m & g t ; & l t ; k e y & g t ; & l t ; s t r i n g & g t ; C o l u m n 2 6 7 & l t ; / s t r i n g & g t ; & l t ; / k e y & g t ; & l t ; v a l u e & g t ; & l t ; i n t & g t ; 1 3 2 & l t ; / i n t & g t ; & l t ; / v a l u e & g t ; & l t ; / i t e m & g t ; & l t ; i t e m & g t ; & l t ; k e y & g t ; & l t ; s t r i n g & g t ; C o l u m n 2 6 8 & l t ; / s t r i n g & g t ; & l t ; / k e y & g t ; & l t ; v a l u e & g t ; & l t ; i n t & g t ; 1 3 2 & l t ; / i n t & g t ; & l t ; / v a l u e & g t ; & l t ; / i t e m & g t ; & l t ; i t e m & g t ; & l t ; k e y & g t ; & l t ; s t r i n g & g t ; C o l u m n 2 6 9 & l t ; / s t r i n g & g t ; & l t ; / k e y & g t ; & l t ; v a l u e & g t ; & l t ; i n t & g t ; 1 3 2 & l t ; / i n t & g t ; & l t ; / v a l u e & g t ; & l t ; / i t e m & g t ; & l t ; i t e m & g t ; & l t ; k e y & g t ; & l t ; s t r i n g & g t ; C o l u m n 2 7 0 & l t ; / s t r i n g & g t ; & l t ; / k e y & g t ; & l t ; v a l u e & g t ; & l t ; i n t & g t ; 1 3 2 & l t ; / i n t & g t ; & l t ; / v a l u e & g t ; & l t ; / i t e m & g t ; & l t ; i t e m & g t ; & l t ; k e y & g t ; & l t ; s t r i n g & g t ; C o l u m n 2 7 1 & l t ; / s t r i n g & g t ; & l t ; / k e y & g t ; & l t ; v a l u e & g t ; & l t ; i n t & g t ; 1 3 2 & l t ; / i n t & g t ; & l t ; / v a l u e & g t ; & l t ; / i t e m & g t ; & l t ; i t e m & g t ; & l t ; k e y & g t ; & l t ; s t r i n g & g t ; C o l u m n 2 7 2 & l t ; / s t r i n g & g t ; & l t ; / k e y & g t ; & l t ; v a l u e & g t ; & l t ; i n t & g t ; 1 3 2 & l t ; / i n t & g t ; & l t ; / v a l u e & g t ; & l t ; / i t e m & g t ; & l t ; i t e m & g t ; & l t ; k e y & g t ; & l t ; s t r i n g & g t ; C o l u m n 2 7 3 & l t ; / s t r i n g & g t ; & l t ; / k e y & g t ; & l t ; v a l u e & g t ; & l t ; i n t & g t ; 1 3 2 & l t ; / i n t & g t ; & l t ; / v a l u e & g t ; & l t ; / i t e m & g t ; & l t ; i t e m & g t ; & l t ; k e y & g t ; & l t ; s t r i n g & g t ; C o l u m n 2 7 4 & l t ; / s t r i n g & g t ; & l t ; / k e y & g t ; & l t ; v a l u e & g t ; & l t ; i n t & g t ; 1 3 2 & l t ; / i n t & g t ; & l t ; / v a l u e & g t ; & l t ; / i t e m & g t ; & l t ; i t e m & g t ; & l t ; k e y & g t ; & l t ; s t r i n g & g t ; C o l u m n 2 7 5 & l t ; / s t r i n g & g t ; & l t ; / k e y & g t ; & l t ; v a l u e & g t ; & l t ; i n t & g t ; 1 3 2 & l t ; / i n t & g t ; & l t ; / v a l u e & g t ; & l t ; / i t e m & g t ; & l t ; i t e m & g t ; & l t ; k e y & g t ; & l t ; s t r i n g & g t ; C o l u m n 2 7 6 & l t ; / s t r i n g & g t ; & l t ; / k e y & g t ; & l t ; v a l u e & g t ; & l t ; i n t & g t ; 1 3 2 & l t ; / i n t & g t ; & l t ; / v a l u e & g t ; & l t ; / i t e m & g t ; & l t ; i t e m & g t ; & l t ; k e y & g t ; & l t ; s t r i n g & g t ; C o l u m n 2 7 7 & l t ; / s t r i n g & g t ; & l t ; / k e y & g t ; & l t ; v a l u e & g t ; & l t ; i n t & g t ; 1 3 2 & l t ; / i n t & g t ; & l t ; / v a l u e & g t ; & l t ; / i t e m & g t ; & l t ; i t e m & g t ; & l t ; k e y & g t ; & l t ; s t r i n g & g t ; C o l u m n 2 7 8 & l t ; / s t r i n g & g t ; & l t ; / k e y & g t ; & l t ; v a l u e & g t ; & l t ; i n t & g t ; 1 3 2 & l t ; / i n t & g t ; & l t ; / v a l u e & g t ; & l t ; / i t e m & g t ; & l t ; i t e m & g t ; & l t ; k e y & g t ; & l t ; s t r i n g & g t ; C o l u m n 2 7 9 & l t ; / s t r i n g & g t ; & l t ; / k e y & g t ; & l t ; v a l u e & g t ; & l t ; i n t & g t ; 1 3 2 & l t ; / i n t & g t ; & l t ; / v a l u e & g t ; & l t ; / i t e m & g t ; & l t ; i t e m & g t ; & l t ; k e y & g t ; & l t ; s t r i n g & g t ; C o l u m n 2 8 0 & l t ; / s t r i n g & g t ; & l t ; / k e y & g t ; & l t ; v a l u e & g t ; & l t ; i n t & g t ; 1 3 2 & l t ; / i n t & g t ; & l t ; / v a l u e & g t ; & l t ; / i t e m & g t ; & l t ; i t e m & g t ; & l t ; k e y & g t ; & l t ; s t r i n g & g t ; C o l u m n 2 8 1 & l t ; / s t r i n g & g t ; & l t ; / k e y & g t ; & l t ; v a l u e & g t ; & l t ; i n t & g t ; 1 3 2 & l t ; / i n t & g t ; & l t ; / v a l u e & g t ; & l t ; / i t e m & g t ; & l t ; i t e m & g t ; & l t ; k e y & g t ; & l t ; s t r i n g & g t ; C o l u m n 2 8 2 & l t ; / s t r i n g & g t ; & l t ; / k e y & g t ; & l t ; v a l u e & g t ; & l t ; i n t & g t ; 1 3 2 & l t ; / i n t & g t ; & l t ; / v a l u e & g t ; & l t ; / i t e m & g t ; & l t ; i t e m & g t ; & l t ; k e y & g t ; & l t ; s t r i n g & g t ; C o l u m n 2 8 3 & l t ; / s t r i n g & g t ; & l t ; / k e y & g t ; & l t ; v a l u e & g t ; & l t ; i n t & g t ; 1 3 2 & l t ; / i n t & g t ; & l t ; / v a l u e & g t ; & l t ; / i t e m & g t ; & l t ; i t e m & g t ; & l t ; k e y & g t ; & l t ; s t r i n g & g t ; C o l u m n 2 8 4 & l t ; / s t r i n g & g t ; & l t ; / k e y & g t ; & l t ; v a l u e & g t ; & l t ; i n t & g t ; 1 3 2 & l t ; / i n t & g t ; & l t ; / v a l u e & g t ; & l t ; / i t e m & g t ; & l t ; i t e m & g t ; & l t ; k e y & g t ; & l t ; s t r i n g & g t ; C o l u m n 2 8 5 & l t ; / s t r i n g & g t ; & l t ; / k e y & g t ; & l t ; v a l u e & g t ; & l t ; i n t & g t ; 1 3 2 & l t ; / i n t & g t ; & l t ; / v a l u e & g t ; & l t ; / i t e m & g t ; & l t ; i t e m & g t ; & l t ; k e y & g t ; & l t ; s t r i n g & g t ; C o l u m n 2 8 6 & l t ; / s t r i n g & g t ; & l t ; / k e y & g t ; & l t ; v a l u e & g t ; & l t ; i n t & g t ; 1 3 2 & l t ; / i n t & g t ; & l t ; / v a l u e & g t ; & l t ; / i t e m & g t ; & l t ; i t e m & g t ; & l t ; k e y & g t ; & l t ; s t r i n g & g t ; C o l u m n 2 8 7 & l t ; / s t r i n g & g t ; & l t ; / k e y & g t ; & l t ; v a l u e & g t ; & l t ; i n t & g t ; 1 3 2 & l t ; / i n t & g t ; & l t ; / v a l u e & g t ; & l t ; / i t e m & g t ; & l t ; i t e m & g t ; & l t ; k e y & g t ; & l t ; s t r i n g & g t ; C o l u m n 2 8 8 & l t ; / s t r i n g & g t ; & l t ; / k e y & g t ; & l t ; v a l u e & g t ; & l t ; i n t & g t ; 1 3 2 & l t ; / i n t & g t ; & l t ; / v a l u e & g t ; & l t ; / i t e m & g t ; & l t ; i t e m & g t ; & l t ; k e y & g t ; & l t ; s t r i n g & g t ; C o l u m n 2 8 9 & l t ; / s t r i n g & g t ; & l t ; / k e y & g t ; & l t ; v a l u e & g t ; & l t ; i n t & g t ; 1 3 2 & l t ; / i n t & g t ; & l t ; / v a l u e & g t ; & l t ; / i t e m & g t ; & l t ; i t e m & g t ; & l t ; k e y & g t ; & l t ; s t r i n g & g t ; C o l u m n 2 9 0 & l t ; / s t r i n g & g t ; & l t ; / k e y & g t ; & l t ; v a l u e & g t ; & l t ; i n t & g t ; 1 3 2 & l t ; / i n t & g t ; & l t ; / v a l u e & g t ; & l t ; / i t e m & g t ; & l t ; i t e m & g t ; & l t ; k e y & g t ; & l t ; s t r i n g & g t ; C o l u m n 2 9 1 & l t ; / s t r i n g & g t ; & l t ; / k e y & g t ; & l t ; v a l u e & g t ; & l t ; i n t & g t ; 1 3 2 & l t ; / i n t & g t ; & l t ; / v a l u e & g t ; & l t ; / i t e m & g t ; & l t ; i t e m & g t ; & l t ; k e y & g t ; & l t ; s t r i n g & g t ; C o l u m n 2 9 2 & l t ; / s t r i n g & g t ; & l t ; / k e y & g t ; & l t ; v a l u e & g t ; & l t ; i n t & g t ; 1 3 2 & l t ; / i n t & g t ; & l t ; / v a l u e & g t ; & l t ; / i t e m & g t ; & l t ; i t e m & g t ; & l t ; k e y & g t ; & l t ; s t r i n g & g t ; C o l u m n 2 9 3 & l t ; / s t r i n g & g t ; & l t ; / k e y & g t ; & l t ; v a l u e & g t ; & l t ; i n t & g t ; 1 3 2 & l t ; / i n t & g t ; & l t ; / v a l u e & g t ; & l t ; / i t e m & g t ; & l t ; i t e m & g t ; & l t ; k e y & g t ; & l t ; s t r i n g & g t ; C o l u m n 2 9 4 & l t ; / s t r i n g & g t ; & l t ; / k e y & g t ; & l t ; v a l u e & g t ; & l t ; i n t & g t ; 1 3 2 & l t ; / i n t & g t ; & l t ; / v a l u e & g t ; & l t ; / i t e m & g t ; & l t ; i t e m & g t ; & l t ; k e y & g t ; & l t ; s t r i n g & g t ; C o l u m n 2 9 5 & l t ; / s t r i n g & g t ; & l t ; / k e y & g t ; & l t ; v a l u e & g t ; & l t ; i n t & g t ; 1 3 2 & l t ; / i n t & g t ; & l t ; / v a l u e & g t ; & l t ; / i t e m & g t ; & l t ; i t e m & g t ; & l t ; k e y & g t ; & l t ; s t r i n g & g t ; C o l u m n 2 9 6 & l t ; / s t r i n g & g t ; & l t ; / k e y & g t ; & l t ; v a l u e & g t ; & l t ; i n t & g t ; 1 3 2 & l t ; / i n t & g t ; & l t ; / v a l u e & g t ; & l t ; / i t e m & g t ; & l t ; i t e m & g t ; & l t ; k e y & g t ; & l t ; s t r i n g & g t ; C o l u m n 2 9 7 & l t ; / s t r i n g & g t ; & l t ; / k e y & g t ; & l t ; v a l u e & g t ; & l t ; i n t & g t ; 1 3 2 & l t ; / i n t & g t ; & l t ; / v a l u e & g t ; & l t ; / i t e m & g t ; & l t ; i t e m & g t ; & l t ; k e y & g t ; & l t ; s t r i n g & g t ; C o l u m n 2 9 8 & l t ; / s t r i n g & g t ; & l t ; / k e y & g t ; & l t ; v a l u e & g t ; & l t ; i n t & g t ; 1 3 2 & l t ; / i n t & g t ; & l t ; / v a l u e & g t ; & l t ; / i t e m & g t ; & l t ; i t e m & g t ; & l t ; k e y & g t ; & l t ; s t r i n g & g t ; C o l u m n 2 9 9 & l t ; / s t r i n g & g t ; & l t ; / k e y & g t ; & l t ; v a l u e & g t ; & l t ; i n t & g t ; 1 3 2 & l t ; / i n t & g t ; & l t ; / v a l u e & g t ; & l t ; / i t e m & g t ; & l t ; i t e m & g t ; & l t ; k e y & g t ; & l t ; s t r i n g & g t ; C o l u m n 3 0 0 & l t ; / s t r i n g & g t ; & l t ; / k e y & g t ; & l t ; v a l u e & g t ; & l t ; i n t & g t ; 1 3 2 & l t ; / i n t & g t ; & l t ; / v a l u e & g t ; & l t ; / i t e m & g t ; & l t ; i t e m & g t ; & l t ; k e y & g t ; & l t ; s t r i n g & g t ; C o l u m n 3 0 1 & l t ; / s t r i n g & g t ; & l t ; / k e y & g t ; & l t ; v a l u e & g t ; & l t ; i n t & g t ; 1 3 2 & l t ; / i n t & g t ; & l t ; / v a l u e & g t ; & l t ; / i t e m & g t ; & l t ; i t e m & g t ; & l t ; k e y & g t ; & l t ; s t r i n g & g t ; C o l u m n 3 0 2 & l t ; / s t r i n g & g t ; & l t ; / k e y & g t ; & l t ; v a l u e & g t ; & l t ; i n t & g t ; 1 3 2 & l t ; / i n t & g t ; & l t ; / v a l u e & g t ; & l t ; / i t e m & g t ; & l t ; i t e m & g t ; & l t ; k e y & g t ; & l t ; s t r i n g & g t ; C o l u m n 3 0 3 & l t ; / s t r i n g & g t ; & l t ; / k e y & g t ; & l t ; v a l u e & g t ; & l t ; i n t & g t ; 1 3 2 & l t ; / i n t & g t ; & l t ; / v a l u e & g t ; & l t ; / i t e m & g t ; & l t ; i t e m & g t ; & l t ; k e y & g t ; & l t ; s t r i n g & g t ; C o l u m n 3 0 4 & l t ; / s t r i n g & g t ; & l t ; / k e y & g t ; & l t ; v a l u e & g t ; & l t ; i n t & g t ; 1 3 2 & l t ; / i n t & g t ; & l t ; / v a l u e & g t ; & l t ; / i t e m & g t ; & l t ; i t e m & g t ; & l t ; k e y & g t ; & l t ; s t r i n g & g t ; C o l u m n 3 0 5 & l t ; / s t r i n g & g t ; & l t ; / k e y & g t ; & l t ; v a l u e & g t ; & l t ; i n t & g t ; 1 3 2 & l t ; / i n t & g t ; & l t ; / v a l u e & g t ; & l t ; / i t e m & g t ; & l t ; i t e m & g t ; & l t ; k e y & g t ; & l t ; s t r i n g & g t ; C o l u m n 3 0 6 & l t ; / s t r i n g & g t ; & l t ; / k e y & g t ; & l t ; v a l u e & g t ; & l t ; i n t & g t ; 1 3 2 & l t ; / i n t & g t ; & l t ; / v a l u e & g t ; & l t ; / i t e m & g t ; & l t ; i t e m & g t ; & l t ; k e y & g t ; & l t ; s t r i n g & g t ; C o l u m n 3 0 7 & l t ; / s t r i n g & g t ; & l t ; / k e y & g t ; & l t ; v a l u e & g t ; & l t ; i n t & g t ; 1 3 2 & l t ; / i n t & g t ; & l t ; / v a l u e & g t ; & l t ; / i t e m & g t ; & l t ; i t e m & g t ; & l t ; k e y & g t ; & l t ; s t r i n g & g t ; C o l u m n 3 0 8 & l t ; / s t r i n g & g t ; & l t ; / k e y & g t ; & l t ; v a l u e & g t ; & l t ; i n t & g t ; 1 3 2 & l t ; / i n t & g t ; & l t ; / v a l u e & g t ; & l t ; / i t e m & g t ; & l t ; i t e m & g t ; & l t ; k e y & g t ; & l t ; s t r i n g & g t ; C o l u m n 3 0 9 & l t ; / s t r i n g & g t ; & l t ; / k e y & g t ; & l t ; v a l u e & g t ; & l t ; i n t & g t ; 1 3 2 & l t ; / i n t & g t ; & l t ; / v a l u e & g t ; & l t ; / i t e m & g t ; & l t ; i t e m & g t ; & l t ; k e y & g t ; & l t ; s t r i n g & g t ; C o l u m n 3 1 0 & l t ; / s t r i n g & g t ; & l t ; / k e y & g t ; & l t ; v a l u e & g t ; & l t ; i n t & g t ; 1 3 2 & l t ; / i n t & g t ; & l t ; / v a l u e & g t ; & l t ; / i t e m & g t ; & l t ; i t e m & g t ; & l t ; k e y & g t ; & l t ; s t r i n g & g t ; C o l u m n 3 1 1 & l t ; / s t r i n g & g t ; & l t ; / k e y & g t ; & l t ; v a l u e & g t ; & l t ; i n t & g t ; 1 3 2 & l t ; / i n t & g t ; & l t ; / v a l u e & g t ; & l t ; / i t e m & g t ; & l t ; i t e m & g t ; & l t ; k e y & g t ; & l t ; s t r i n g & g t ; C o l u m n 3 1 2 & l t ; / s t r i n g & g t ; & l t ; / k e y & g t ; & l t ; v a l u e & g t ; & l t ; i n t & g t ; 1 3 2 & l t ; / i n t & g t ; & l t ; / v a l u e & g t ; & l t ; / i t e m & g t ; & l t ; i t e m & g t ; & l t ; k e y & g t ; & l t ; s t r i n g & g t ; C o l u m n 3 1 3 & l t ; / s t r i n g & g t ; & l t ; / k e y & g t ; & l t ; v a l u e & g t ; & l t ; i n t & g t ; 1 3 2 & l t ; / i n t & g t ; & l t ; / v a l u e & g t ; & l t ; / i t e m & g t ; & l t ; i t e m & g t ; & l t ; k e y & g t ; & l t ; s t r i n g & g t ; C o l u m n 3 1 4 & l t ; / s t r i n g & g t ; & l t ; / k e y & g t ; & l t ; v a l u e & g t ; & l t ; i n t & g t ; 1 3 2 & l t ; / i n t & g t ; & l t ; / v a l u e & g t ; & l t ; / i t e m & g t ; & l t ; i t e m & g t ; & l t ; k e y & g t ; & l t ; s t r i n g & g t ; C o l u m n 3 1 5 & l t ; / s t r i n g & g t ; & l t ; / k e y & g t ; & l t ; v a l u e & g t ; & l t ; i n t & g t ; 1 3 2 & l t ; / i n t & g t ; & l t ; / v a l u e & g t ; & l t ; / i t e m & g t ; & l t ; i t e m & g t ; & l t ; k e y & g t ; & l t ; s t r i n g & g t ; C o l u m n 3 1 6 & l t ; / s t r i n g & g t ; & l t ; / k e y & g t ; & l t ; v a l u e & g t ; & l t ; i n t & g t ; 1 3 2 & l t ; / i n t & g t ; & l t ; / v a l u e & g t ; & l t ; / i t e m & g t ; & l t ; i t e m & g t ; & l t ; k e y & g t ; & l t ; s t r i n g & g t ; C o l u m n 3 1 7 & l t ; / s t r i n g & g t ; & l t ; / k e y & g t ; & l t ; v a l u e & g t ; & l t ; i n t & g t ; 1 3 2 & l t ; / i n t & g t ; & l t ; / v a l u e & g t ; & l t ; / i t e m & g t ; & l t ; i t e m & g t ; & l t ; k e y & g t ; & l t ; s t r i n g & g t ; C o l u m n 3 1 8 & l t ; / s t r i n g & g t ; & l t ; / k e y & g t ; & l t ; v a l u e & g t ; & l t ; i n t & g t ; 1 3 2 & l t ; / i n t & g t ; & l t ; / v a l u e & g t ; & l t ; / i t e m & g t ; & l t ; i t e m & g t ; & l t ; k e y & g t ; & l t ; s t r i n g & g t ; C o l u m n 3 1 9 & l t ; / s t r i n g & g t ; & l t ; / k e y & g t ; & l t ; v a l u e & g t ; & l t ; i n t & g t ; 1 3 2 & l t ; / i n t & g t ; & l t ; / v a l u e & g t ; & l t ; / i t e m & g t ; & l t ; i t e m & g t ; & l t ; k e y & g t ; & l t ; s t r i n g & g t ; C o l u m n 3 2 0 & l t ; / s t r i n g & g t ; & l t ; / k e y & g t ; & l t ; v a l u e & g t ; & l t ; i n t & g t ; 1 3 2 & l t ; / i n t & g t ; & l t ; / v a l u e & g t ; & l t ; / i t e m & g t ; & l t ; i t e m & g t ; & l t ; k e y & g t ; & l t ; s t r i n g & g t ; C o l u m n 3 2 1 & l t ; / s t r i n g & g t ; & l t ; / k e y & g t ; & l t ; v a l u e & g t ; & l t ; i n t & g t ; 1 3 2 & l t ; / i n t & g t ; & l t ; / v a l u e & g t ; & l t ; / i t e m & g t ; & l t ; i t e m & g t ; & l t ; k e y & g t ; & l t ; s t r i n g & g t ; C o l u m n 3 2 2 & l t ; / s t r i n g & g t ; & l t ; / k e y & g t ; & l t ; v a l u e & g t ; & l t ; i n t & g t ; 1 3 2 & l t ; / i n t & g t ; & l t ; / v a l u e & g t ; & l t ; / i t e m & g t ; & l t ; i t e m & g t ; & l t ; k e y & g t ; & l t ; s t r i n g & g t ; C o l u m n 3 2 3 & l t ; / s t r i n g & g t ; & l t ; / k e y & g t ; & l t ; v a l u e & g t ; & l t ; i n t & g t ; 1 3 2 & l t ; / i n t & g t ; & l t ; / v a l u e & g t ; & l t ; / i t e m & g t ; & l t ; i t e m & g t ; & l t ; k e y & g t ; & l t ; s t r i n g & g t ; C o l u m n 3 2 4 & l t ; / s t r i n g & g t ; & l t ; / k e y & g t ; & l t ; v a l u e & g t ; & l t ; i n t & g t ; 1 3 2 & l t ; / i n t & g t ; & l t ; / v a l u e & g t ; & l t ; / i t e m & g t ; & l t ; i t e m & g t ; & l t ; k e y & g t ; & l t ; s t r i n g & g t ; C o l u m n 3 2 5 & l t ; / s t r i n g & g t ; & l t ; / k e y & g t ; & l t ; v a l u e & g t ; & l t ; i n t & g t ; 1 3 2 & l t ; / i n t & g t ; & l t ; / v a l u e & g t ; & l t ; / i t e m & g t ; & l t ; i t e m & g t ; & l t ; k e y & g t ; & l t ; s t r i n g & g t ; C o l u m n 3 2 6 & l t ; / s t r i n g & g t ; & l t ; / k e y & g t ; & l t ; v a l u e & g t ; & l t ; i n t & g t ; 1 3 2 & l t ; / i n t & g t ; & l t ; / v a l u e & g t ; & l t ; / i t e m & g t ; & l t ; i t e m & g t ; & l t ; k e y & g t ; & l t ; s t r i n g & g t ; C o l u m n 3 2 7 & l t ; / s t r i n g & g t ; & l t ; / k e y & g t ; & l t ; v a l u e & g t ; & l t ; i n t & g t ; 1 3 2 & l t ; / i n t & g t ; & l t ; / v a l u e & g t ; & l t ; / i t e m & g t ; & l t ; i t e m & g t ; & l t ; k e y & g t ; & l t ; s t r i n g & g t ; C o l u m n 3 2 8 & l t ; / s t r i n g & g t ; & l t ; / k e y & g t ; & l t ; v a l u e & g t ; & l t ; i n t & g t ; 1 3 2 & l t ; / i n t & g t ; & l t ; / v a l u e & g t ; & l t ; / i t e m & g t ; & l t ; i t e m & g t ; & l t ; k e y & g t ; & l t ; s t r i n g & g t ; C o l u m n 3 2 9 & l t ; / s t r i n g & g t ; & l t ; / k e y & g t ; & l t ; v a l u e & g t ; & l t ; i n t & g t ; 1 3 2 & l t ; / i n t & g t ; & l t ; / v a l u e & g t ; & l t ; / i t e m & g t ; & l t ; i t e m & g t ; & l t ; k e y & g t ; & l t ; s t r i n g & g t ; C o l u m n 3 3 0 & l t ; / s t r i n g & g t ; & l t ; / k e y & g t ; & l t ; v a l u e & g t ; & l t ; i n t & g t ; 1 3 2 & l t ; / i n t & g t ; & l t ; / v a l u e & g t ; & l t ; / i t e m & g t ; & l t ; i t e m & g t ; & l t ; k e y & g t ; & l t ; s t r i n g & g t ; C o l u m n 3 3 1 & l t ; / s t r i n g & g t ; & l t ; / k e y & g t ; & l t ; v a l u e & g t ; & l t ; i n t & g t ; 1 3 2 & l t ; / i n t & g t ; & l t ; / v a l u e & g t ; & l t ; / i t e m & g t ; & l t ; i t e m & g t ; & l t ; k e y & g t ; & l t ; s t r i n g & g t ; C o l u m n 3 3 2 & l t ; / s t r i n g & g t ; & l t ; / k e y & g t ; & l t ; v a l u e & g t ; & l t ; i n t & g t ; 1 3 2 & l t ; / i n t & g t ; & l t ; / v a l u e & g t ; & l t ; / i t e m & g t ; & l t ; i t e m & g t ; & l t ; k e y & g t ; & l t ; s t r i n g & g t ; C o l u m n 3 3 3 & l t ; / s t r i n g & g t ; & l t ; / k e y & g t ; & l t ; v a l u e & g t ; & l t ; i n t & g t ; 1 3 2 & l t ; / i n t & g t ; & l t ; / v a l u e & g t ; & l t ; / i t e m & g t ; & l t ; i t e m & g t ; & l t ; k e y & g t ; & l t ; s t r i n g & g t ; C o l u m n 3 3 4 & l t ; / s t r i n g & g t ; & l t ; / k e y & g t ; & l t ; v a l u e & g t ; & l t ; i n t & g t ; 1 3 2 & l t ; / i n t & g t ; & l t ; / v a l u e & g t ; & l t ; / i t e m & g t ; & l t ; i t e m & g t ; & l t ; k e y & g t ; & l t ; s t r i n g & g t ; C o l u m n 3 3 5 & l t ; / s t r i n g & g t ; & l t ; / k e y & g t ; & l t ; v a l u e & g t ; & l t ; i n t & g t ; 1 3 2 & l t ; / i n t & g t ; & l t ; / v a l u e & g t ; & l t ; / i t e m & g t ; & l t ; i t e m & g t ; & l t ; k e y & g t ; & l t ; s t r i n g & g t ; C o l u m n 3 3 6 & l t ; / s t r i n g & g t ; & l t ; / k e y & g t ; & l t ; v a l u e & g t ; & l t ; i n t & g t ; 1 3 2 & l t ; / i n t & g t ; & l t ; / v a l u e & g t ; & l t ; / i t e m & g t ; & l t ; i t e m & g t ; & l t ; k e y & g t ; & l t ; s t r i n g & g t ; C o l u m n 3 3 7 & l t ; / s t r i n g & g t ; & l t ; / k e y & g t ; & l t ; v a l u e & g t ; & l t ; i n t & g t ; 1 3 2 & l t ; / i n t & g t ; & l t ; / v a l u e & g t ; & l t ; / i t e m & g t ; & l t ; i t e m & g t ; & l t ; k e y & g t ; & l t ; s t r i n g & g t ; C o l u m n 3 3 8 & l t ; / s t r i n g & g t ; & l t ; / k e y & g t ; & l t ; v a l u e & g t ; & l t ; i n t & g t ; 1 3 2 & l t ; / i n t & g t ; & l t ; / v a l u e & g t ; & l t ; / i t e m & g t ; & l t ; i t e m & g t ; & l t ; k e y & g t ; & l t ; s t r i n g & g t ; C o l u m n 3 3 9 & l t ; / s t r i n g & g t ; & l t ; / k e y & g t ; & l t ; v a l u e & g t ; & l t ; i n t & g t ; 1 3 2 & l t ; / i n t & g t ; & l t ; / v a l u e & g t ; & l t ; / i t e m & g t ; & l t ; i t e m & g t ; & l t ; k e y & g t ; & l t ; s t r i n g & g t ; C o l u m n 3 4 0 & l t ; / s t r i n g & g t ; & l t ; / k e y & g t ; & l t ; v a l u e & g t ; & l t ; i n t & g t ; 1 3 2 & l t ; / i n t & g t ; & l t ; / v a l u e & g t ; & l t ; / i t e m & g t ; & l t ; i t e m & g t ; & l t ; k e y & g t ; & l t ; s t r i n g & g t ; C o l u m n 3 4 1 & l t ; / s t r i n g & g t ; & l t ; / k e y & g t ; & l t ; v a l u e & g t ; & l t ; i n t & g t ; 1 3 2 & l t ; / i n t & g t ; & l t ; / v a l u e & g t ; & l t ; / i t e m & g t ; & l t ; i t e m & g t ; & l t ; k e y & g t ; & l t ; s t r i n g & g t ; C o l u m n 3 4 2 & l t ; / s t r i n g & g t ; & l t ; / k e y & g t ; & l t ; v a l u e & g t ; & l t ; i n t & g t ; 1 3 2 & l t ; / i n t & g t ; & l t ; / v a l u e & g t ; & l t ; / i t e m & g t ; & l t ; i t e m & g t ; & l t ; k e y & g t ; & l t ; s t r i n g & g t ; C o l u m n 3 4 3 & l t ; / s t r i n g & g t ; & l t ; / k e y & g t ; & l t ; v a l u e & g t ; & l t ; i n t & g t ; 1 3 2 & l t ; / i n t & g t ; & l t ; / v a l u e & g t ; & l t ; / i t e m & g t ; & l t ; i t e m & g t ; & l t ; k e y & g t ; & l t ; s t r i n g & g t ; C o l u m n 3 4 4 & l t ; / s t r i n g & g t ; & l t ; / k e y & g t ; & l t ; v a l u e & g t ; & l t ; i n t & g t ; 1 3 2 & l t ; / i n t & g t ; & l t ; / v a l u e & g t ; & l t ; / i t e m & g t ; & l t ; i t e m & g t ; & l t ; k e y & g t ; & l t ; s t r i n g & g t ; C o l u m n 3 4 5 & l t ; / s t r i n g & g t ; & l t ; / k e y & g t ; & l t ; v a l u e & g t ; & l t ; i n t & g t ; 1 3 2 & l t ; / i n t & g t ; & l t ; / v a l u e & g t ; & l t ; / i t e m & g t ; & l t ; i t e m & g t ; & l t ; k e y & g t ; & l t ; s t r i n g & g t ; C o l u m n 3 4 6 & l t ; / s t r i n g & g t ; & l t ; / k e y & g t ; & l t ; v a l u e & g t ; & l t ; i n t & g t ; 1 3 2 & l t ; / i n t & g t ; & l t ; / v a l u e & g t ; & l t ; / i t e m & g t ; & l t ; i t e m & g t ; & l t ; k e y & g t ; & l t ; s t r i n g & g t ; C o l u m n 3 4 7 & l t ; / s t r i n g & g t ; & l t ; / k e y & g t ; & l t ; v a l u e & g t ; & l t ; i n t & g t ; 1 3 2 & l t ; / i n t & g t ; & l t ; / v a l u e & g t ; & l t ; / i t e m & g t ; & l t ; i t e m & g t ; & l t ; k e y & g t ; & l t ; s t r i n g & g t ; C o l u m n 3 4 8 & l t ; / s t r i n g & g t ; & l t ; / k e y & g t ; & l t ; v a l u e & g t ; & l t ; i n t & g t ; 1 3 2 & l t ; / i n t & g t ; & l t ; / v a l u e & g t ; & l t ; / i t e m & g t ; & l t ; i t e m & g t ; & l t ; k e y & g t ; & l t ; s t r i n g & g t ; C o l u m n 3 4 9 & l t ; / s t r i n g & g t ; & l t ; / k e y & g t ; & l t ; v a l u e & g t ; & l t ; i n t & g t ; 1 3 2 & l t ; / i n t & g t ; & l t ; / v a l u e & g t ; & l t ; / i t e m & g t ; & l t ; i t e m & g t ; & l t ; k e y & g t ; & l t ; s t r i n g & g t ; C o l u m n 3 5 0 & l t ; / s t r i n g & g t ; & l t ; / k e y & g t ; & l t ; v a l u e & g t ; & l t ; i n t & g t ; 1 3 2 & 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1 9 & l t ; / s t r i n g & g t ; & l t ; / k e y & g t ; & l t ; v a l u e & g t ; & l t ; i n t & g t ; 1 8 & l t ; / i n t & g t ; & l t ; / v a l u e & g t ; & l t ; / i t e m & g t ; & l t ; i t e m & g t ; & l t ; k e y & g t ; & l t ; s t r i n g & g t ; C o l u m n 2 0 & l t ; / s t r i n g & g t ; & l t ; / k e y & g t ; & l t ; v a l u e & g t ; & l t ; i n t & g t ; 1 9 & l t ; / i n t & g t ; & l t ; / v a l u e & g t ; & l t ; / i t e m & g t ; & l t ; i t e m & g t ; & l t ; k e y & g t ; & l t ; s t r i n g & g t ; C o l u m n 2 1 & l t ; / s t r i n g & g t ; & l t ; / k e y & g t ; & l t ; v a l u e & g t ; & l t ; i n t & g t ; 2 0 & l t ; / i n t & g t ; & l t ; / v a l u e & g t ; & l t ; / i t e m & g t ; & l t ; i t e m & g t ; & l t ; k e y & g t ; & l t ; s t r i n g & g t ; C o l u m n 2 2 & l t ; / s t r i n g & g t ; & l t ; / k e y & g t ; & l t ; v a l u e & g t ; & l t ; i n t & g t ; 2 1 & l t ; / i n t & g t ; & l t ; / v a l u e & g t ; & l t ; / i t e m & g t ; & l t ; i t e m & g t ; & l t ; k e y & g t ; & l t ; s t r i n g & g t ; C o l u m n 2 3 & l t ; / s t r i n g & g t ; & l t ; / k e y & g t ; & l t ; v a l u e & g t ; & l t ; i n t & g t ; 2 2 & l t ; / i n t & g t ; & l t ; / v a l u e & g t ; & l t ; / i t e m & g t ; & l t ; i t e m & g t ; & l t ; k e y & g t ; & l t ; s t r i n g & g t ; C o l u m n 2 4 & l t ; / s t r i n g & g t ; & l t ; / k e y & g t ; & l t ; v a l u e & g t ; & l t ; i n t & g t ; 2 3 & l t ; / i n t & g t ; & l t ; / v a l u e & g t ; & l t ; / i t e m & g t ; & l t ; i t e m & g t ; & l t ; k e y & g t ; & l t ; s t r i n g & g t ; C o l u m n 2 5 & l t ; / s t r i n g & g t ; & l t ; / k e y & g t ; & l t ; v a l u e & g t ; & l t ; i n t & g t ; 2 4 & l t ; / i n t & g t ; & l t ; / v a l u e & g t ; & l t ; / i t e m & g t ; & l t ; i t e m & g t ; & l t ; k e y & g t ; & l t ; s t r i n g & g t ; C o l u m n 2 6 & l t ; / s t r i n g & g t ; & l t ; / k e y & g t ; & l t ; v a l u e & g t ; & l t ; i n t & g t ; 2 5 & l t ; / i n t & g t ; & l t ; / v a l u e & g t ; & l t ; / i t e m & g t ; & l t ; i t e m & g t ; & l t ; k e y & g t ; & l t ; s t r i n g & g t ; C o l u m n 2 7 & l t ; / s t r i n g & g t ; & l t ; / k e y & g t ; & l t ; v a l u e & g t ; & l t ; i n t & g t ; 2 6 & l t ; / i n t & g t ; & l t ; / v a l u e & g t ; & l t ; / i t e m & g t ; & l t ; i t e m & g t ; & l t ; k e y & g t ; & l t ; s t r i n g & g t ; C o l u m n 2 8 & l t ; / s t r i n g & g t ; & l t ; / k e y & g t ; & l t ; v a l u e & g t ; & l t ; i n t & g t ; 2 7 & l t ; / i n t & g t ; & l t ; / v a l u e & g t ; & l t ; / i t e m & g t ; & l t ; i t e m & g t ; & l t ; k e y & g t ; & l t ; s t r i n g & g t ; C o l u m n 2 9 & l t ; / s t r i n g & g t ; & l t ; / k e y & g t ; & l t ; v a l u e & g t ; & l t ; i n t & g t ; 2 8 & l t ; / i n t & g t ; & l t ; / v a l u e & g t ; & l t ; / i t e m & g t ; & l t ; i t e m & g t ; & l t ; k e y & g t ; & l t ; s t r i n g & g t ; C o l u m n 3 0 & l t ; / s t r i n g & g t ; & l t ; / k e y & g t ; & l t ; v a l u e & g t ; & l t ; i n t & g t ; 2 9 & l t ; / i n t & g t ; & l t ; / v a l u e & g t ; & l t ; / i t e m & g t ; & l t ; i t e m & g t ; & l t ; k e y & g t ; & l t ; s t r i n g & g t ; C o l u m n 3 1 & l t ; / s t r i n g & g t ; & l t ; / k e y & g t ; & l t ; v a l u e & g t ; & l t ; i n t & g t ; 3 0 & l t ; / i n t & g t ; & l t ; / v a l u e & g t ; & l t ; / i t e m & g t ; & l t ; i t e m & g t ; & l t ; k e y & g t ; & l t ; s t r i n g & g t ; C o l u m n 3 2 & l t ; / s t r i n g & g t ; & l t ; / k e y & g t ; & l t ; v a l u e & g t ; & l t ; i n t & g t ; 3 1 & l t ; / i n t & g t ; & l t ; / v a l u e & g t ; & l t ; / i t e m & g t ; & l t ; i t e m & g t ; & l t ; k e y & g t ; & l t ; s t r i n g & g t ; C o l u m n 3 3 & l t ; / s t r i n g & g t ; & l t ; / k e y & g t ; & l t ; v a l u e & g t ; & l t ; i n t & g t ; 3 2 & l t ; / i n t & g t ; & l t ; / v a l u e & g t ; & l t ; / i t e m & g t ; & l t ; i t e m & g t ; & l t ; k e y & g t ; & l t ; s t r i n g & g t ; C o l u m n 3 4 & l t ; / s t r i n g & g t ; & l t ; / k e y & g t ; & l t ; v a l u e & g t ; & l t ; i n t & g t ; 3 3 & l t ; / i n t & g t ; & l t ; / v a l u e & g t ; & l t ; / i t e m & g t ; & l t ; i t e m & g t ; & l t ; k e y & g t ; & l t ; s t r i n g & g t ; C o l u m n 3 5 & l t ; / s t r i n g & g t ; & l t ; / k e y & g t ; & l t ; v a l u e & g t ; & l t ; i n t & g t ; 3 4 & l t ; / i n t & g t ; & l t ; / v a l u e & g t ; & l t ; / i t e m & g t ; & l t ; i t e m & g t ; & l t ; k e y & g t ; & l t ; s t r i n g & g t ; C o l u m n 3 6 & l t ; / s t r i n g & g t ; & l t ; / k e y & g t ; & l t ; v a l u e & g t ; & l t ; i n t & g t ; 3 5 & l t ; / i n t & g t ; & l t ; / v a l u e & g t ; & l t ; / i t e m & g t ; & l t ; i t e m & g t ; & l t ; k e y & g t ; & l t ; s t r i n g & g t ; C o l u m n 3 7 & l t ; / s t r i n g & g t ; & l t ; / k e y & g t ; & l t ; v a l u e & g t ; & l t ; i n t & g t ; 3 6 & l t ; / i n t & g t ; & l t ; / v a l u e & g t ; & l t ; / i t e m & g t ; & l t ; i t e m & g t ; & l t ; k e y & g t ; & l t ; s t r i n g & g t ; C o l u m n 3 8 & l t ; / s t r i n g & g t ; & l t ; / k e y & g t ; & l t ; v a l u e & g t ; & l t ; i n t & g t ; 3 7 & l t ; / i n t & g t ; & l t ; / v a l u e & g t ; & l t ; / i t e m & g t ; & l t ; i t e m & g t ; & l t ; k e y & g t ; & l t ; s t r i n g & g t ; C o l u m n 3 9 & l t ; / s t r i n g & g t ; & l t ; / k e y & g t ; & l t ; v a l u e & g t ; & l t ; i n t & g t ; 3 8 & l t ; / i n t & g t ; & l t ; / v a l u e & g t ; & l t ; / i t e m & g t ; & l t ; i t e m & g t ; & l t ; k e y & g t ; & l t ; s t r i n g & g t ; C o l u m n 4 0 & l t ; / s t r i n g & g t ; & l t ; / k e y & g t ; & l t ; v a l u e & g t ; & l t ; i n t & g t ; 3 9 & l t ; / i n t & g t ; & l t ; / v a l u e & g t ; & l t ; / i t e m & g t ; & l t ; i t e m & g t ; & l t ; k e y & g t ; & l t ; s t r i n g & g t ; C o l u m n 4 1 & l t ; / s t r i n g & g t ; & l t ; / k e y & g t ; & l t ; v a l u e & g t ; & l t ; i n t & g t ; 4 0 & l t ; / i n t & g t ; & l t ; / v a l u e & g t ; & l t ; / i t e m & g t ; & l t ; i t e m & g t ; & l t ; k e y & g t ; & l t ; s t r i n g & g t ; C o l u m n 4 2 & l t ; / s t r i n g & g t ; & l t ; / k e y & g t ; & l t ; v a l u e & g t ; & l t ; i n t & g t ; 4 1 & l t ; / i n t & g t ; & l t ; / v a l u e & g t ; & l t ; / i t e m & g t ; & l t ; i t e m & g t ; & l t ; k e y & g t ; & l t ; s t r i n g & g t ; C o l u m n 4 3 & l t ; / s t r i n g & g t ; & l t ; / k e y & g t ; & l t ; v a l u e & g t ; & l t ; i n t & g t ; 4 2 & l t ; / i n t & g t ; & l t ; / v a l u e & g t ; & l t ; / i t e m & g t ; & l t ; i t e m & g t ; & l t ; k e y & g t ; & l t ; s t r i n g & g t ; C o l u m n 4 4 & l t ; / s t r i n g & g t ; & l t ; / k e y & g t ; & l t ; v a l u e & g t ; & l t ; i n t & g t ; 4 3 & l t ; / i n t & g t ; & l t ; / v a l u e & g t ; & l t ; / i t e m & g t ; & l t ; i t e m & g t ; & l t ; k e y & g t ; & l t ; s t r i n g & g t ; C o l u m n 4 5 & l t ; / s t r i n g & g t ; & l t ; / k e y & g t ; & l t ; v a l u e & g t ; & l t ; i n t & g t ; 4 4 & l t ; / i n t & g t ; & l t ; / v a l u e & g t ; & l t ; / i t e m & g t ; & l t ; i t e m & g t ; & l t ; k e y & g t ; & l t ; s t r i n g & g t ; C o l u m n 4 6 & l t ; / s t r i n g & g t ; & l t ; / k e y & g t ; & l t ; v a l u e & g t ; & l t ; i n t & g t ; 4 5 & l t ; / i n t & g t ; & l t ; / v a l u e & g t ; & l t ; / i t e m & g t ; & l t ; i t e m & g t ; & l t ; k e y & g t ; & l t ; s t r i n g & g t ; C o l u m n 4 7 & l t ; / s t r i n g & g t ; & l t ; / k e y & g t ; & l t ; v a l u e & g t ; & l t ; i n t & g t ; 4 6 & l t ; / i n t & g t ; & l t ; / v a l u e & g t ; & l t ; / i t e m & g t ; & l t ; i t e m & g t ; & l t ; k e y & g t ; & l t ; s t r i n g & g t ; C o l u m n 4 8 & l t ; / s t r i n g & g t ; & l t ; / k e y & g t ; & l t ; v a l u e & g t ; & l t ; i n t & g t ; 4 7 & l t ; / i n t & g t ; & l t ; / v a l u e & g t ; & l t ; / i t e m & g t ; & l t ; i t e m & g t ; & l t ; k e y & g t ; & l t ; s t r i n g & g t ; C o l u m n 4 9 & l t ; / s t r i n g & g t ; & l t ; / k e y & g t ; & l t ; v a l u e & g t ; & l t ; i n t & g t ; 4 8 & l t ; / i n t & g t ; & l t ; / v a l u e & g t ; & l t ; / i t e m & g t ; & l t ; i t e m & g t ; & l t ; k e y & g t ; & l t ; s t r i n g & g t ; C o l u m n 5 0 & l t ; / s t r i n g & g t ; & l t ; / k e y & g t ; & l t ; v a l u e & g t ; & l t ; i n t & g t ; 4 9 & l t ; / i n t & g t ; & l t ; / v a l u e & g t ; & l t ; / i t e m & g t ; & l t ; i t e m & g t ; & l t ; k e y & g t ; & l t ; s t r i n g & g t ; C o l u m n 5 1 & l t ; / s t r i n g & g t ; & l t ; / k e y & g t ; & l t ; v a l u e & g t ; & l t ; i n t & g t ; 5 0 & l t ; / i n t & g t ; & l t ; / v a l u e & g t ; & l t ; / i t e m & g t ; & l t ; i t e m & g t ; & l t ; k e y & g t ; & l t ; s t r i n g & g t ; C o l u m n 5 2 & l t ; / s t r i n g & g t ; & l t ; / k e y & g t ; & l t ; v a l u e & g t ; & l t ; i n t & g t ; 5 1 & l t ; / i n t & g t ; & l t ; / v a l u e & g t ; & l t ; / i t e m & g t ; & l t ; i t e m & g t ; & l t ; k e y & g t ; & l t ; s t r i n g & g t ; C o l u m n 5 3 & l t ; / s t r i n g & g t ; & l t ; / k e y & g t ; & l t ; v a l u e & g t ; & l t ; i n t & g t ; 5 2 & l t ; / i n t & g t ; & l t ; / v a l u e & g t ; & l t ; / i t e m & g t ; & l t ; i t e m & g t ; & l t ; k e y & g t ; & l t ; s t r i n g & g t ; C o l u m n 5 4 & l t ; / s t r i n g & g t ; & l t ; / k e y & g t ; & l t ; v a l u e & g t ; & l t ; i n t & g t ; 5 3 & l t ; / i n t & g t ; & l t ; / v a l u e & g t ; & l t ; / i t e m & g t ; & l t ; i t e m & g t ; & l t ; k e y & g t ; & l t ; s t r i n g & g t ; C o l u m n 5 5 & l t ; / s t r i n g & g t ; & l t ; / k e y & g t ; & l t ; v a l u e & g t ; & l t ; i n t & g t ; 5 4 & l t ; / i n t & g t ; & l t ; / v a l u e & g t ; & l t ; / i t e m & g t ; & l t ; i t e m & g t ; & l t ; k e y & g t ; & l t ; s t r i n g & g t ; C o l u m n 5 6 & l t ; / s t r i n g & g t ; & l t ; / k e y & g t ; & l t ; v a l u e & g t ; & l t ; i n t & g t ; 5 5 & l t ; / i n t & g t ; & l t ; / v a l u e & g t ; & l t ; / i t e m & g t ; & l t ; i t e m & g t ; & l t ; k e y & g t ; & l t ; s t r i n g & g t ; C o l u m n 5 7 & l t ; / s t r i n g & g t ; & l t ; / k e y & g t ; & l t ; v a l u e & g t ; & l t ; i n t & g t ; 5 6 & l t ; / i n t & g t ; & l t ; / v a l u e & g t ; & l t ; / i t e m & g t ; & l t ; i t e m & g t ; & l t ; k e y & g t ; & l t ; s t r i n g & g t ; C o l u m n 5 8 & l t ; / s t r i n g & g t ; & l t ; / k e y & g t ; & l t ; v a l u e & g t ; & l t ; i n t & g t ; 5 7 & l t ; / i n t & g t ; & l t ; / v a l u e & g t ; & l t ; / i t e m & g t ; & l t ; i t e m & g t ; & l t ; k e y & g t ; & l t ; s t r i n g & g t ; C o l u m n 5 9 & l t ; / s t r i n g & g t ; & l t ; / k e y & g t ; & l t ; v a l u e & g t ; & l t ; i n t & g t ; 5 8 & l t ; / i n t & g t ; & l t ; / v a l u e & g t ; & l t ; / i t e m & g t ; & l t ; i t e m & g t ; & l t ; k e y & g t ; & l t ; s t r i n g & g t ; C o l u m n 6 0 & l t ; / s t r i n g & g t ; & l t ; / k e y & g t ; & l t ; v a l u e & g t ; & l t ; i n t & g t ; 5 9 & l t ; / i n t & g t ; & l t ; / v a l u e & g t ; & l t ; / i t e m & g t ; & l t ; i t e m & g t ; & l t ; k e y & g t ; & l t ; s t r i n g & g t ; C o l u m n 6 1 & l t ; / s t r i n g & g t ; & l t ; / k e y & g t ; & l t ; v a l u e & g t ; & l t ; i n t & g t ; 6 0 & l t ; / i n t & g t ; & l t ; / v a l u e & g t ; & l t ; / i t e m & g t ; & l t ; i t e m & g t ; & l t ; k e y & g t ; & l t ; s t r i n g & g t ; C o l u m n 6 2 & l t ; / s t r i n g & g t ; & l t ; / k e y & g t ; & l t ; v a l u e & g t ; & l t ; i n t & g t ; 6 1 & l t ; / i n t & g t ; & l t ; / v a l u e & g t ; & l t ; / i t e m & g t ; & l t ; i t e m & g t ; & l t ; k e y & g t ; & l t ; s t r i n g & g t ; C o l u m n 6 3 & l t ; / s t r i n g & g t ; & l t ; / k e y & g t ; & l t ; v a l u e & g t ; & l t ; i n t & g t ; 6 2 & l t ; / i n t & g t ; & l t ; / v a l u e & g t ; & l t ; / i t e m & g t ; & l t ; i t e m & g t ; & l t ; k e y & g t ; & l t ; s t r i n g & g t ; C o l u m n 6 4 & l t ; / s t r i n g & g t ; & l t ; / k e y & g t ; & l t ; v a l u e & g t ; & l t ; i n t & g t ; 6 3 & l t ; / i n t & g t ; & l t ; / v a l u e & g t ; & l t ; / i t e m & g t ; & l t ; i t e m & g t ; & l t ; k e y & g t ; & l t ; s t r i n g & g t ; C o l u m n 6 5 & l t ; / s t r i n g & g t ; & l t ; / k e y & g t ; & l t ; v a l u e & g t ; & l t ; i n t & g t ; 6 4 & l t ; / i n t & g t ; & l t ; / v a l u e & g t ; & l t ; / i t e m & g t ; & l t ; i t e m & g t ; & l t ; k e y & g t ; & l t ; s t r i n g & g t ; C o l u m n 6 6 & l t ; / s t r i n g & g t ; & l t ; / k e y & g t ; & l t ; v a l u e & g t ; & l t ; i n t & g t ; 6 5 & l t ; / i n t & g t ; & l t ; / v a l u e & g t ; & l t ; / i t e m & g t ; & l t ; i t e m & g t ; & l t ; k e y & g t ; & l t ; s t r i n g & g t ; C o l u m n 6 7 & l t ; / s t r i n g & g t ; & l t ; / k e y & g t ; & l t ; v a l u e & g t ; & l t ; i n t & g t ; 6 6 & l t ; / i n t & g t ; & l t ; / v a l u e & g t ; & l t ; / i t e m & g t ; & l t ; i t e m & g t ; & l t ; k e y & g t ; & l t ; s t r i n g & g t ; C o l u m n 6 8 & l t ; / s t r i n g & g t ; & l t ; / k e y & g t ; & l t ; v a l u e & g t ; & l t ; i n t & g t ; 6 7 & l t ; / i n t & g t ; & l t ; / v a l u e & g t ; & l t ; / i t e m & g t ; & l t ; i t e m & g t ; & l t ; k e y & g t ; & l t ; s t r i n g & g t ; C o l u m n 6 9 & l t ; / s t r i n g & g t ; & l t ; / k e y & g t ; & l t ; v a l u e & g t ; & l t ; i n t & g t ; 6 8 & l t ; / i n t & g t ; & l t ; / v a l u e & g t ; & l t ; / i t e m & g t ; & l t ; i t e m & g t ; & l t ; k e y & g t ; & l t ; s t r i n g & g t ; C o l u m n 7 0 & l t ; / s t r i n g & g t ; & l t ; / k e y & g t ; & l t ; v a l u e & g t ; & l t ; i n t & g t ; 6 9 & l t ; / i n t & g t ; & l t ; / v a l u e & g t ; & l t ; / i t e m & g t ; & l t ; i t e m & g t ; & l t ; k e y & g t ; & l t ; s t r i n g & g t ; C o l u m n 7 1 & l t ; / s t r i n g & g t ; & l t ; / k e y & g t ; & l t ; v a l u e & g t ; & l t ; i n t & g t ; 7 0 & l t ; / i n t & g t ; & l t ; / v a l u e & g t ; & l t ; / i t e m & g t ; & l t ; i t e m & g t ; & l t ; k e y & g t ; & l t ; s t r i n g & g t ; C o l u m n 7 2 & l t ; / s t r i n g & g t ; & l t ; / k e y & g t ; & l t ; v a l u e & g t ; & l t ; i n t & g t ; 7 1 & l t ; / i n t & g t ; & l t ; / v a l u e & g t ; & l t ; / i t e m & g t ; & l t ; i t e m & g t ; & l t ; k e y & g t ; & l t ; s t r i n g & g t ; C o l u m n 7 3 & l t ; / s t r i n g & g t ; & l t ; / k e y & g t ; & l t ; v a l u e & g t ; & l t ; i n t & g t ; 7 2 & l t ; / i n t & g t ; & l t ; / v a l u e & g t ; & l t ; / i t e m & g t ; & l t ; i t e m & g t ; & l t ; k e y & g t ; & l t ; s t r i n g & g t ; C o l u m n 7 4 & l t ; / s t r i n g & g t ; & l t ; / k e y & g t ; & l t ; v a l u e & g t ; & l t ; i n t & g t ; 7 3 & l t ; / i n t & g t ; & l t ; / v a l u e & g t ; & l t ; / i t e m & g t ; & l t ; i t e m & g t ; & l t ; k e y & g t ; & l t ; s t r i n g & g t ; C o l u m n 7 5 & l t ; / s t r i n g & g t ; & l t ; / k e y & g t ; & l t ; v a l u e & g t ; & l t ; i n t & g t ; 7 4 & l t ; / i n t & g t ; & l t ; / v a l u e & g t ; & l t ; / i t e m & g t ; & l t ; i t e m & g t ; & l t ; k e y & g t ; & l t ; s t r i n g & g t ; C o l u m n 7 6 & l t ; / s t r i n g & g t ; & l t ; / k e y & g t ; & l t ; v a l u e & g t ; & l t ; i n t & g t ; 7 5 & l t ; / i n t & g t ; & l t ; / v a l u e & g t ; & l t ; / i t e m & g t ; & l t ; i t e m & g t ; & l t ; k e y & g t ; & l t ; s t r i n g & g t ; C o l u m n 7 7 & l t ; / s t r i n g & g t ; & l t ; / k e y & g t ; & l t ; v a l u e & g t ; & l t ; i n t & g t ; 7 6 & l t ; / i n t & g t ; & l t ; / v a l u e & g t ; & l t ; / i t e m & g t ; & l t ; i t e m & g t ; & l t ; k e y & g t ; & l t ; s t r i n g & g t ; C o l u m n 7 8 & l t ; / s t r i n g & g t ; & l t ; / k e y & g t ; & l t ; v a l u e & g t ; & l t ; i n t & g t ; 7 7 & l t ; / i n t & g t ; & l t ; / v a l u e & g t ; & l t ; / i t e m & g t ; & l t ; i t e m & g t ; & l t ; k e y & g t ; & l t ; s t r i n g & g t ; C o l u m n 7 9 & l t ; / s t r i n g & g t ; & l t ; / k e y & g t ; & l t ; v a l u e & g t ; & l t ; i n t & g t ; 7 8 & l t ; / i n t & g t ; & l t ; / v a l u e & g t ; & l t ; / i t e m & g t ; & l t ; i t e m & g t ; & l t ; k e y & g t ; & l t ; s t r i n g & g t ; C o l u m n 8 0 & l t ; / s t r i n g & g t ; & l t ; / k e y & g t ; & l t ; v a l u e & g t ; & l t ; i n t & g t ; 7 9 & l t ; / i n t & g t ; & l t ; / v a l u e & g t ; & l t ; / i t e m & g t ; & l t ; i t e m & g t ; & l t ; k e y & g t ; & l t ; s t r i n g & g t ; C o l u m n 8 1 & l t ; / s t r i n g & g t ; & l t ; / k e y & g t ; & l t ; v a l u e & g t ; & l t ; i n t & g t ; 8 0 & l t ; / i n t & g t ; & l t ; / v a l u e & g t ; & l t ; / i t e m & g t ; & l t ; i t e m & g t ; & l t ; k e y & g t ; & l t ; s t r i n g & g t ; C o l u m n 8 2 & l t ; / s t r i n g & g t ; & l t ; / k e y & g t ; & l t ; v a l u e & g t ; & l t ; i n t & g t ; 8 1 & l t ; / i n t & g t ; & l t ; / v a l u e & g t ; & l t ; / i t e m & g t ; & l t ; i t e m & g t ; & l t ; k e y & g t ; & l t ; s t r i n g & g t ; C o l u m n 8 3 & l t ; / s t r i n g & g t ; & l t ; / k e y & g t ; & l t ; v a l u e & g t ; & l t ; i n t & g t ; 8 2 & l t ; / i n t & g t ; & l t ; / v a l u e & g t ; & l t ; / i t e m & g t ; & l t ; i t e m & g t ; & l t ; k e y & g t ; & l t ; s t r i n g & g t ; C o l u m n 8 4 & l t ; / s t r i n g & g t ; & l t ; / k e y & g t ; & l t ; v a l u e & g t ; & l t ; i n t & g t ; 8 3 & l t ; / i n t & g t ; & l t ; / v a l u e & g t ; & l t ; / i t e m & g t ; & l t ; i t e m & g t ; & l t ; k e y & g t ; & l t ; s t r i n g & g t ; C o l u m n 8 5 & l t ; / s t r i n g & g t ; & l t ; / k e y & g t ; & l t ; v a l u e & g t ; & l t ; i n t & g t ; 8 4 & l t ; / i n t & g t ; & l t ; / v a l u e & g t ; & l t ; / i t e m & g t ; & l t ; i t e m & g t ; & l t ; k e y & g t ; & l t ; s t r i n g & g t ; C o l u m n 8 6 & l t ; / s t r i n g & g t ; & l t ; / k e y & g t ; & l t ; v a l u e & g t ; & l t ; i n t & g t ; 8 5 & l t ; / i n t & g t ; & l t ; / v a l u e & g t ; & l t ; / i t e m & g t ; & l t ; i t e m & g t ; & l t ; k e y & g t ; & l t ; s t r i n g & g t ; C o l u m n 8 7 & l t ; / s t r i n g & g t ; & l t ; / k e y & g t ; & l t ; v a l u e & g t ; & l t ; i n t & g t ; 8 6 & l t ; / i n t & g t ; & l t ; / v a l u e & g t ; & l t ; / i t e m & g t ; & l t ; i t e m & g t ; & l t ; k e y & g t ; & l t ; s t r i n g & g t ; C o l u m n 8 8 & l t ; / s t r i n g & g t ; & l t ; / k e y & g t ; & l t ; v a l u e & g t ; & l t ; i n t & g t ; 8 7 & l t ; / i n t & g t ; & l t ; / v a l u e & g t ; & l t ; / i t e m & g t ; & l t ; i t e m & g t ; & l t ; k e y & g t ; & l t ; s t r i n g & g t ; C o l u m n 8 9 & l t ; / s t r i n g & g t ; & l t ; / k e y & g t ; & l t ; v a l u e & g t ; & l t ; i n t & g t ; 8 8 & l t ; / i n t & g t ; & l t ; / v a l u e & g t ; & l t ; / i t e m & g t ; & l t ; i t e m & g t ; & l t ; k e y & g t ; & l t ; s t r i n g & g t ; C o l u m n 9 0 & l t ; / s t r i n g & g t ; & l t ; / k e y & g t ; & l t ; v a l u e & g t ; & l t ; i n t & g t ; 8 9 & l t ; / i n t & g t ; & l t ; / v a l u e & g t ; & l t ; / i t e m & g t ; & l t ; i t e m & g t ; & l t ; k e y & g t ; & l t ; s t r i n g & g t ; C o l u m n 9 1 & l t ; / s t r i n g & g t ; & l t ; / k e y & g t ; & l t ; v a l u e & g t ; & l t ; i n t & g t ; 9 0 & l t ; / i n t & g t ; & l t ; / v a l u e & g t ; & l t ; / i t e m & g t ; & l t ; i t e m & g t ; & l t ; k e y & g t ; & l t ; s t r i n g & g t ; C o l u m n 9 2 & l t ; / s t r i n g & g t ; & l t ; / k e y & g t ; & l t ; v a l u e & g t ; & l t ; i n t & g t ; 9 1 & l t ; / i n t & g t ; & l t ; / v a l u e & g t ; & l t ; / i t e m & g t ; & l t ; i t e m & g t ; & l t ; k e y & g t ; & l t ; s t r i n g & g t ; C o l u m n 9 3 & l t ; / s t r i n g & g t ; & l t ; / k e y & g t ; & l t ; v a l u e & g t ; & l t ; i n t & g t ; 9 2 & l t ; / i n t & g t ; & l t ; / v a l u e & g t ; & l t ; / i t e m & g t ; & l t ; i t e m & g t ; & l t ; k e y & g t ; & l t ; s t r i n g & g t ; C o l u m n 9 4 & l t ; / s t r i n g & g t ; & l t ; / k e y & g t ; & l t ; v a l u e & g t ; & l t ; i n t & g t ; 9 3 & l t ; / i n t & g t ; & l t ; / v a l u e & g t ; & l t ; / i t e m & g t ; & l t ; i t e m & g t ; & l t ; k e y & g t ; & l t ; s t r i n g & g t ; C o l u m n 9 5 & l t ; / s t r i n g & g t ; & l t ; / k e y & g t ; & l t ; v a l u e & g t ; & l t ; i n t & g t ; 9 4 & l t ; / i n t & g t ; & l t ; / v a l u e & g t ; & l t ; / i t e m & g t ; & l t ; i t e m & g t ; & l t ; k e y & g t ; & l t ; s t r i n g & g t ; C o l u m n 9 6 & l t ; / s t r i n g & g t ; & l t ; / k e y & g t ; & l t ; v a l u e & g t ; & l t ; i n t & g t ; 9 5 & l t ; / i n t & g t ; & l t ; / v a l u e & g t ; & l t ; / i t e m & g t ; & l t ; i t e m & g t ; & l t ; k e y & g t ; & l t ; s t r i n g & g t ; C o l u m n 9 7 & l t ; / s t r i n g & g t ; & l t ; / k e y & g t ; & l t ; v a l u e & g t ; & l t ; i n t & g t ; 9 6 & l t ; / i n t & g t ; & l t ; / v a l u e & g t ; & l t ; / i t e m & g t ; & l t ; i t e m & g t ; & l t ; k e y & g t ; & l t ; s t r i n g & g t ; C o l u m n 9 8 & l t ; / s t r i n g & g t ; & l t ; / k e y & g t ; & l t ; v a l u e & g t ; & l t ; i n t & g t ; 9 7 & l t ; / i n t & g t ; & l t ; / v a l u e & g t ; & l t ; / i t e m & g t ; & l t ; i t e m & g t ; & l t ; k e y & g t ; & l t ; s t r i n g & g t ; C o l u m n 9 9 & l t ; / s t r i n g & g t ; & l t ; / k e y & g t ; & l t ; v a l u e & g t ; & l t ; i n t & g t ; 9 8 & l t ; / i n t & g t ; & l t ; / v a l u e & g t ; & l t ; / i t e m & g t ; & l t ; i t e m & g t ; & l t ; k e y & g t ; & l t ; s t r i n g & g t ; C o l u m n 1 0 0 & l t ; / s t r i n g & g t ; & l t ; / k e y & g t ; & l t ; v a l u e & g t ; & l t ; i n t & g t ; 9 9 & l t ; / i n t & g t ; & l t ; / v a l u e & g t ; & l t ; / i t e m & g t ; & l t ; i t e m & g t ; & l t ; k e y & g t ; & l t ; s t r i n g & g t ; C o l u m n 1 0 1 & l t ; / s t r i n g & g t ; & l t ; / k e y & g t ; & l t ; v a l u e & g t ; & l t ; i n t & g t ; 1 0 0 & l t ; / i n t & g t ; & l t ; / v a l u e & g t ; & l t ; / i t e m & g t ; & l t ; i t e m & g t ; & l t ; k e y & g t ; & l t ; s t r i n g & g t ; C o l u m n 1 0 2 & l t ; / s t r i n g & g t ; & l t ; / k e y & g t ; & l t ; v a l u e & g t ; & l t ; i n t & g t ; 1 0 1 & l t ; / i n t & g t ; & l t ; / v a l u e & g t ; & l t ; / i t e m & g t ; & l t ; i t e m & g t ; & l t ; k e y & g t ; & l t ; s t r i n g & g t ; C o l u m n 1 0 3 & l t ; / s t r i n g & g t ; & l t ; / k e y & g t ; & l t ; v a l u e & g t ; & l t ; i n t & g t ; 1 0 2 & l t ; / i n t & g t ; & l t ; / v a l u e & g t ; & l t ; / i t e m & g t ; & l t ; i t e m & g t ; & l t ; k e y & g t ; & l t ; s t r i n g & g t ; C o l u m n 1 0 4 & l t ; / s t r i n g & g t ; & l t ; / k e y & g t ; & l t ; v a l u e & g t ; & l t ; i n t & g t ; 1 0 3 & l t ; / i n t & g t ; & l t ; / v a l u e & g t ; & l t ; / i t e m & g t ; & l t ; i t e m & g t ; & l t ; k e y & g t ; & l t ; s t r i n g & g t ; C o l u m n 1 0 5 & l t ; / s t r i n g & g t ; & l t ; / k e y & g t ; & l t ; v a l u e & g t ; & l t ; i n t & g t ; 1 0 4 & l t ; / i n t & g t ; & l t ; / v a l u e & g t ; & l t ; / i t e m & g t ; & l t ; i t e m & g t ; & l t ; k e y & g t ; & l t ; s t r i n g & g t ; C o l u m n 1 0 6 & l t ; / s t r i n g & g t ; & l t ; / k e y & g t ; & l t ; v a l u e & g t ; & l t ; i n t & g t ; 1 0 5 & l t ; / i n t & g t ; & l t ; / v a l u e & g t ; & l t ; / i t e m & g t ; & l t ; i t e m & g t ; & l t ; k e y & g t ; & l t ; s t r i n g & g t ; C o l u m n 1 0 7 & l t ; / s t r i n g & g t ; & l t ; / k e y & g t ; & l t ; v a l u e & g t ; & l t ; i n t & g t ; 1 0 6 & l t ; / i n t & g t ; & l t ; / v a l u e & g t ; & l t ; / i t e m & g t ; & l t ; i t e m & g t ; & l t ; k e y & g t ; & l t ; s t r i n g & g t ; C o l u m n 1 0 8 & l t ; / s t r i n g & g t ; & l t ; / k e y & g t ; & l t ; v a l u e & g t ; & l t ; i n t & g t ; 1 0 7 & l t ; / i n t & g t ; & l t ; / v a l u e & g t ; & l t ; / i t e m & g t ; & l t ; i t e m & g t ; & l t ; k e y & g t ; & l t ; s t r i n g & g t ; C o l u m n 1 0 9 & l t ; / s t r i n g & g t ; & l t ; / k e y & g t ; & l t ; v a l u e & g t ; & l t ; i n t & g t ; 1 0 8 & l t ; / i n t & g t ; & l t ; / v a l u e & g t ; & l t ; / i t e m & g t ; & l t ; i t e m & g t ; & l t ; k e y & g t ; & l t ; s t r i n g & g t ; C o l u m n 1 1 0 & l t ; / s t r i n g & g t ; & l t ; / k e y & g t ; & l t ; v a l u e & g t ; & l t ; i n t & g t ; 1 0 9 & l t ; / i n t & g t ; & l t ; / v a l u e & g t ; & l t ; / i t e m & g t ; & l t ; i t e m & g t ; & l t ; k e y & g t ; & l t ; s t r i n g & g t ; C o l u m n 1 1 1 & l t ; / s t r i n g & g t ; & l t ; / k e y & g t ; & l t ; v a l u e & g t ; & l t ; i n t & g t ; 1 1 0 & l t ; / i n t & g t ; & l t ; / v a l u e & g t ; & l t ; / i t e m & g t ; & l t ; i t e m & g t ; & l t ; k e y & g t ; & l t ; s t r i n g & g t ; C o l u m n 1 1 2 & l t ; / s t r i n g & g t ; & l t ; / k e y & g t ; & l t ; v a l u e & g t ; & l t ; i n t & g t ; 1 1 1 & l t ; / i n t & g t ; & l t ; / v a l u e & g t ; & l t ; / i t e m & g t ; & l t ; i t e m & g t ; & l t ; k e y & g t ; & l t ; s t r i n g & g t ; C o l u m n 1 1 3 & l t ; / s t r i n g & g t ; & l t ; / k e y & g t ; & l t ; v a l u e & g t ; & l t ; i n t & g t ; 1 1 2 & l t ; / i n t & g t ; & l t ; / v a l u e & g t ; & l t ; / i t e m & g t ; & l t ; i t e m & g t ; & l t ; k e y & g t ; & l t ; s t r i n g & g t ; C o l u m n 1 1 4 & l t ; / s t r i n g & g t ; & l t ; / k e y & g t ; & l t ; v a l u e & g t ; & l t ; i n t & g t ; 1 1 3 & l t ; / i n t & g t ; & l t ; / v a l u e & g t ; & l t ; / i t e m & g t ; & l t ; i t e m & g t ; & l t ; k e y & g t ; & l t ; s t r i n g & g t ; C o l u m n 1 1 5 & l t ; / s t r i n g & g t ; & l t ; / k e y & g t ; & l t ; v a l u e & g t ; & l t ; i n t & g t ; 1 1 4 & l t ; / i n t & g t ; & l t ; / v a l u e & g t ; & l t ; / i t e m & g t ; & l t ; i t e m & g t ; & l t ; k e y & g t ; & l t ; s t r i n g & g t ; C o l u m n 1 1 6 & l t ; / s t r i n g & g t ; & l t ; / k e y & g t ; & l t ; v a l u e & g t ; & l t ; i n t & g t ; 1 1 5 & l t ; / i n t & g t ; & l t ; / v a l u e & g t ; & l t ; / i t e m & g t ; & l t ; i t e m & g t ; & l t ; k e y & g t ; & l t ; s t r i n g & g t ; C o l u m n 1 1 7 & l t ; / s t r i n g & g t ; & l t ; / k e y & g t ; & l t ; v a l u e & g t ; & l t ; i n t & g t ; 1 1 6 & l t ; / i n t & g t ; & l t ; / v a l u e & g t ; & l t ; / i t e m & g t ; & l t ; i t e m & g t ; & l t ; k e y & g t ; & l t ; s t r i n g & g t ; C o l u m n 1 1 8 & l t ; / s t r i n g & g t ; & l t ; / k e y & g t ; & l t ; v a l u e & g t ; & l t ; i n t & g t ; 1 1 7 & l t ; / i n t & g t ; & l t ; / v a l u e & g t ; & l t ; / i t e m & g t ; & l t ; i t e m & g t ; & l t ; k e y & g t ; & l t ; s t r i n g & g t ; C o l u m n 1 1 9 & l t ; / s t r i n g & g t ; & l t ; / k e y & g t ; & l t ; v a l u e & g t ; & l t ; i n t & g t ; 1 1 8 & l t ; / i n t & g t ; & l t ; / v a l u e & g t ; & l t ; / i t e m & g t ; & l t ; i t e m & g t ; & l t ; k e y & g t ; & l t ; s t r i n g & g t ; C o l u m n 1 2 0 & l t ; / s t r i n g & g t ; & l t ; / k e y & g t ; & l t ; v a l u e & g t ; & l t ; i n t & g t ; 1 1 9 & l t ; / i n t & g t ; & l t ; / v a l u e & g t ; & l t ; / i t e m & g t ; & l t ; i t e m & g t ; & l t ; k e y & g t ; & l t ; s t r i n g & g t ; C o l u m n 1 2 1 & l t ; / s t r i n g & g t ; & l t ; / k e y & g t ; & l t ; v a l u e & g t ; & l t ; i n t & g t ; 1 2 0 & l t ; / i n t & g t ; & l t ; / v a l u e & g t ; & l t ; / i t e m & g t ; & l t ; i t e m & g t ; & l t ; k e y & g t ; & l t ; s t r i n g & g t ; C o l u m n 1 2 2 & l t ; / s t r i n g & g t ; & l t ; / k e y & g t ; & l t ; v a l u e & g t ; & l t ; i n t & g t ; 1 2 1 & l t ; / i n t & g t ; & l t ; / v a l u e & g t ; & l t ; / i t e m & g t ; & l t ; i t e m & g t ; & l t ; k e y & g t ; & l t ; s t r i n g & g t ; C o l u m n 1 2 3 & l t ; / s t r i n g & g t ; & l t ; / k e y & g t ; & l t ; v a l u e & g t ; & l t ; i n t & g t ; 1 2 2 & l t ; / i n t & g t ; & l t ; / v a l u e & g t ; & l t ; / i t e m & g t ; & l t ; i t e m & g t ; & l t ; k e y & g t ; & l t ; s t r i n g & g t ; C o l u m n 1 2 4 & l t ; / s t r i n g & g t ; & l t ; / k e y & g t ; & l t ; v a l u e & g t ; & l t ; i n t & g t ; 1 2 3 & l t ; / i n t & g t ; & l t ; / v a l u e & g t ; & l t ; / i t e m & g t ; & l t ; i t e m & g t ; & l t ; k e y & g t ; & l t ; s t r i n g & g t ; C o l u m n 1 2 5 & l t ; / s t r i n g & g t ; & l t ; / k e y & g t ; & l t ; v a l u e & g t ; & l t ; i n t & g t ; 1 2 4 & l t ; / i n t & g t ; & l t ; / v a l u e & g t ; & l t ; / i t e m & g t ; & l t ; i t e m & g t ; & l t ; k e y & g t ; & l t ; s t r i n g & g t ; C o l u m n 1 2 6 & l t ; / s t r i n g & g t ; & l t ; / k e y & g t ; & l t ; v a l u e & g t ; & l t ; i n t & g t ; 1 2 5 & l t ; / i n t & g t ; & l t ; / v a l u e & g t ; & l t ; / i t e m & g t ; & l t ; i t e m & g t ; & l t ; k e y & g t ; & l t ; s t r i n g & g t ; C o l u m n 1 2 7 & l t ; / s t r i n g & g t ; & l t ; / k e y & g t ; & l t ; v a l u e & g t ; & l t ; i n t & g t ; 1 2 6 & l t ; / i n t & g t ; & l t ; / v a l u e & g t ; & l t ; / i t e m & g t ; & l t ; i t e m & g t ; & l t ; k e y & g t ; & l t ; s t r i n g & g t ; C o l u m n 1 2 8 & l t ; / s t r i n g & g t ; & l t ; / k e y & g t ; & l t ; v a l u e & g t ; & l t ; i n t & g t ; 1 2 7 & l t ; / i n t & g t ; & l t ; / v a l u e & g t ; & l t ; / i t e m & g t ; & l t ; i t e m & g t ; & l t ; k e y & g t ; & l t ; s t r i n g & g t ; C o l u m n 1 2 9 & l t ; / s t r i n g & g t ; & l t ; / k e y & g t ; & l t ; v a l u e & g t ; & l t ; i n t & g t ; 1 2 8 & l t ; / i n t & g t ; & l t ; / v a l u e & g t ; & l t ; / i t e m & g t ; & l t ; i t e m & g t ; & l t ; k e y & g t ; & l t ; s t r i n g & g t ; C o l u m n 1 3 0 & l t ; / s t r i n g & g t ; & l t ; / k e y & g t ; & l t ; v a l u e & g t ; & l t ; i n t & g t ; 1 2 9 & l t ; / i n t & g t ; & l t ; / v a l u e & g t ; & l t ; / i t e m & g t ; & l t ; i t e m & g t ; & l t ; k e y & g t ; & l t ; s t r i n g & g t ; C o l u m n 1 3 1 & l t ; / s t r i n g & g t ; & l t ; / k e y & g t ; & l t ; v a l u e & g t ; & l t ; i n t & g t ; 1 3 0 & l t ; / i n t & g t ; & l t ; / v a l u e & g t ; & l t ; / i t e m & g t ; & l t ; i t e m & g t ; & l t ; k e y & g t ; & l t ; s t r i n g & g t ; C o l u m n 1 3 2 & l t ; / s t r i n g & g t ; & l t ; / k e y & g t ; & l t ; v a l u e & g t ; & l t ; i n t & g t ; 1 3 1 & l t ; / i n t & g t ; & l t ; / v a l u e & g t ; & l t ; / i t e m & g t ; & l t ; i t e m & g t ; & l t ; k e y & g t ; & l t ; s t r i n g & g t ; C o l u m n 1 3 3 & l t ; / s t r i n g & g t ; & l t ; / k e y & g t ; & l t ; v a l u e & g t ; & l t ; i n t & g t ; 1 3 2 & l t ; / i n t & g t ; & l t ; / v a l u e & g t ; & l t ; / i t e m & g t ; & l t ; i t e m & g t ; & l t ; k e y & g t ; & l t ; s t r i n g & g t ; C o l u m n 1 3 4 & l t ; / s t r i n g & g t ; & l t ; / k e y & g t ; & l t ; v a l u e & g t ; & l t ; i n t & g t ; 1 3 3 & l t ; / i n t & g t ; & l t ; / v a l u e & g t ; & l t ; / i t e m & g t ; & l t ; i t e m & g t ; & l t ; k e y & g t ; & l t ; s t r i n g & g t ; C o l u m n 1 3 5 & l t ; / s t r i n g & g t ; & l t ; / k e y & g t ; & l t ; v a l u e & g t ; & l t ; i n t & g t ; 1 3 4 & l t ; / i n t & g t ; & l t ; / v a l u e & g t ; & l t ; / i t e m & g t ; & l t ; i t e m & g t ; & l t ; k e y & g t ; & l t ; s t r i n g & g t ; C o l u m n 1 3 6 & l t ; / s t r i n g & g t ; & l t ; / k e y & g t ; & l t ; v a l u e & g t ; & l t ; i n t & g t ; 1 3 5 & l t ; / i n t & g t ; & l t ; / v a l u e & g t ; & l t ; / i t e m & g t ; & l t ; i t e m & g t ; & l t ; k e y & g t ; & l t ; s t r i n g & g t ; C o l u m n 1 3 7 & l t ; / s t r i n g & g t ; & l t ; / k e y & g t ; & l t ; v a l u e & g t ; & l t ; i n t & g t ; 1 3 6 & l t ; / i n t & g t ; & l t ; / v a l u e & g t ; & l t ; / i t e m & g t ; & l t ; i t e m & g t ; & l t ; k e y & g t ; & l t ; s t r i n g & g t ; C o l u m n 1 3 8 & l t ; / s t r i n g & g t ; & l t ; / k e y & g t ; & l t ; v a l u e & g t ; & l t ; i n t & g t ; 1 3 7 & l t ; / i n t & g t ; & l t ; / v a l u e & g t ; & l t ; / i t e m & g t ; & l t ; i t e m & g t ; & l t ; k e y & g t ; & l t ; s t r i n g & g t ; C o l u m n 1 3 9 & l t ; / s t r i n g & g t ; & l t ; / k e y & g t ; & l t ; v a l u e & g t ; & l t ; i n t & g t ; 1 3 8 & l t ; / i n t & g t ; & l t ; / v a l u e & g t ; & l t ; / i t e m & g t ; & l t ; i t e m & g t ; & l t ; k e y & g t ; & l t ; s t r i n g & g t ; C o l u m n 1 4 0 & l t ; / s t r i n g & g t ; & l t ; / k e y & g t ; & l t ; v a l u e & g t ; & l t ; i n t & g t ; 1 3 9 & l t ; / i n t & g t ; & l t ; / v a l u e & g t ; & l t ; / i t e m & g t ; & l t ; i t e m & g t ; & l t ; k e y & g t ; & l t ; s t r i n g & g t ; C o l u m n 1 4 1 & l t ; / s t r i n g & g t ; & l t ; / k e y & g t ; & l t ; v a l u e & g t ; & l t ; i n t & g t ; 1 4 0 & l t ; / i n t & g t ; & l t ; / v a l u e & g t ; & l t ; / i t e m & g t ; & l t ; i t e m & g t ; & l t ; k e y & g t ; & l t ; s t r i n g & g t ; C o l u m n 1 4 2 & l t ; / s t r i n g & g t ; & l t ; / k e y & g t ; & l t ; v a l u e & g t ; & l t ; i n t & g t ; 1 4 1 & l t ; / i n t & g t ; & l t ; / v a l u e & g t ; & l t ; / i t e m & g t ; & l t ; i t e m & g t ; & l t ; k e y & g t ; & l t ; s t r i n g & g t ; C o l u m n 1 4 3 & l t ; / s t r i n g & g t ; & l t ; / k e y & g t ; & l t ; v a l u e & g t ; & l t ; i n t & g t ; 1 4 2 & l t ; / i n t & g t ; & l t ; / v a l u e & g t ; & l t ; / i t e m & g t ; & l t ; i t e m & g t ; & l t ; k e y & g t ; & l t ; s t r i n g & g t ; C o l u m n 1 4 4 & l t ; / s t r i n g & g t ; & l t ; / k e y & g t ; & l t ; v a l u e & g t ; & l t ; i n t & g t ; 1 4 3 & l t ; / i n t & g t ; & l t ; / v a l u e & g t ; & l t ; / i t e m & g t ; & l t ; i t e m & g t ; & l t ; k e y & g t ; & l t ; s t r i n g & g t ; C o l u m n 1 4 5 & l t ; / s t r i n g & g t ; & l t ; / k e y & g t ; & l t ; v a l u e & g t ; & l t ; i n t & g t ; 1 4 4 & l t ; / i n t & g t ; & l t ; / v a l u e & g t ; & l t ; / i t e m & g t ; & l t ; i t e m & g t ; & l t ; k e y & g t ; & l t ; s t r i n g & g t ; C o l u m n 1 4 6 & l t ; / s t r i n g & g t ; & l t ; / k e y & g t ; & l t ; v a l u e & g t ; & l t ; i n t & g t ; 1 4 5 & l t ; / i n t & g t ; & l t ; / v a l u e & g t ; & l t ; / i t e m & g t ; & l t ; i t e m & g t ; & l t ; k e y & g t ; & l t ; s t r i n g & g t ; C o l u m n 1 4 7 & l t ; / s t r i n g & g t ; & l t ; / k e y & g t ; & l t ; v a l u e & g t ; & l t ; i n t & g t ; 1 4 6 & l t ; / i n t & g t ; & l t ; / v a l u e & g t ; & l t ; / i t e m & g t ; & l t ; i t e m & g t ; & l t ; k e y & g t ; & l t ; s t r i n g & g t ; C o l u m n 1 4 8 & l t ; / s t r i n g & g t ; & l t ; / k e y & g t ; & l t ; v a l u e & g t ; & l t ; i n t & g t ; 1 4 7 & l t ; / i n t & g t ; & l t ; / v a l u e & g t ; & l t ; / i t e m & g t ; & l t ; i t e m & g t ; & l t ; k e y & g t ; & l t ; s t r i n g & g t ; C o l u m n 1 4 9 & l t ; / s t r i n g & g t ; & l t ; / k e y & g t ; & l t ; v a l u e & g t ; & l t ; i n t & g t ; 1 4 8 & l t ; / i n t & g t ; & l t ; / v a l u e & g t ; & l t ; / i t e m & g t ; & l t ; i t e m & g t ; & l t ; k e y & g t ; & l t ; s t r i n g & g t ; C o l u m n 1 5 0 & l t ; / s t r i n g & g t ; & l t ; / k e y & g t ; & l t ; v a l u e & g t ; & l t ; i n t & g t ; 1 4 9 & l t ; / i n t & g t ; & l t ; / v a l u e & g t ; & l t ; / i t e m & g t ; & l t ; i t e m & g t ; & l t ; k e y & g t ; & l t ; s t r i n g & g t ; C o l u m n 1 5 1 & l t ; / s t r i n g & g t ; & l t ; / k e y & g t ; & l t ; v a l u e & g t ; & l t ; i n t & g t ; 1 5 0 & l t ; / i n t & g t ; & l t ; / v a l u e & g t ; & l t ; / i t e m & g t ; & l t ; i t e m & g t ; & l t ; k e y & g t ; & l t ; s t r i n g & g t ; C o l u m n 1 5 2 & l t ; / s t r i n g & g t ; & l t ; / k e y & g t ; & l t ; v a l u e & g t ; & l t ; i n t & g t ; 1 5 1 & l t ; / i n t & g t ; & l t ; / v a l u e & g t ; & l t ; / i t e m & g t ; & l t ; i t e m & g t ; & l t ; k e y & g t ; & l t ; s t r i n g & g t ; C o l u m n 1 5 3 & l t ; / s t r i n g & g t ; & l t ; / k e y & g t ; & l t ; v a l u e & g t ; & l t ; i n t & g t ; 1 5 2 & l t ; / i n t & g t ; & l t ; / v a l u e & g t ; & l t ; / i t e m & g t ; & l t ; i t e m & g t ; & l t ; k e y & g t ; & l t ; s t r i n g & g t ; C o l u m n 1 5 4 & l t ; / s t r i n g & g t ; & l t ; / k e y & g t ; & l t ; v a l u e & g t ; & l t ; i n t & g t ; 1 5 3 & l t ; / i n t & g t ; & l t ; / v a l u e & g t ; & l t ; / i t e m & g t ; & l t ; i t e m & g t ; & l t ; k e y & g t ; & l t ; s t r i n g & g t ; C o l u m n 1 5 5 & l t ; / s t r i n g & g t ; & l t ; / k e y & g t ; & l t ; v a l u e & g t ; & l t ; i n t & g t ; 1 5 4 & l t ; / i n t & g t ; & l t ; / v a l u e & g t ; & l t ; / i t e m & g t ; & l t ; i t e m & g t ; & l t ; k e y & g t ; & l t ; s t r i n g & g t ; C o l u m n 1 5 6 & l t ; / s t r i n g & g t ; & l t ; / k e y & g t ; & l t ; v a l u e & g t ; & l t ; i n t & g t ; 1 5 5 & l t ; / i n t & g t ; & l t ; / v a l u e & g t ; & l t ; / i t e m & g t ; & l t ; i t e m & g t ; & l t ; k e y & g t ; & l t ; s t r i n g & g t ; C o l u m n 1 5 7 & l t ; / s t r i n g & g t ; & l t ; / k e y & g t ; & l t ; v a l u e & g t ; & l t ; i n t & g t ; 1 5 6 & l t ; / i n t & g t ; & l t ; / v a l u e & g t ; & l t ; / i t e m & g t ; & l t ; i t e m & g t ; & l t ; k e y & g t ; & l t ; s t r i n g & g t ; C o l u m n 1 5 8 & l t ; / s t r i n g & g t ; & l t ; / k e y & g t ; & l t ; v a l u e & g t ; & l t ; i n t & g t ; 1 5 7 & l t ; / i n t & g t ; & l t ; / v a l u e & g t ; & l t ; / i t e m & g t ; & l t ; i t e m & g t ; & l t ; k e y & g t ; & l t ; s t r i n g & g t ; C o l u m n 1 5 9 & l t ; / s t r i n g & g t ; & l t ; / k e y & g t ; & l t ; v a l u e & g t ; & l t ; i n t & g t ; 1 5 8 & l t ; / i n t & g t ; & l t ; / v a l u e & g t ; & l t ; / i t e m & g t ; & l t ; i t e m & g t ; & l t ; k e y & g t ; & l t ; s t r i n g & g t ; C o l u m n 1 6 0 & l t ; / s t r i n g & g t ; & l t ; / k e y & g t ; & l t ; v a l u e & g t ; & l t ; i n t & g t ; 1 5 9 & l t ; / i n t & g t ; & l t ; / v a l u e & g t ; & l t ; / i t e m & g t ; & l t ; i t e m & g t ; & l t ; k e y & g t ; & l t ; s t r i n g & g t ; C o l u m n 1 6 1 & l t ; / s t r i n g & g t ; & l t ; / k e y & g t ; & l t ; v a l u e & g t ; & l t ; i n t & g t ; 1 6 0 & l t ; / i n t & g t ; & l t ; / v a l u e & g t ; & l t ; / i t e m & g t ; & l t ; i t e m & g t ; & l t ; k e y & g t ; & l t ; s t r i n g & g t ; C o l u m n 1 6 2 & l t ; / s t r i n g & g t ; & l t ; / k e y & g t ; & l t ; v a l u e & g t ; & l t ; i n t & g t ; 1 6 1 & l t ; / i n t & g t ; & l t ; / v a l u e & g t ; & l t ; / i t e m & g t ; & l t ; i t e m & g t ; & l t ; k e y & g t ; & l t ; s t r i n g & g t ; C o l u m n 1 6 3 & l t ; / s t r i n g & g t ; & l t ; / k e y & g t ; & l t ; v a l u e & g t ; & l t ; i n t & g t ; 1 6 2 & l t ; / i n t & g t ; & l t ; / v a l u e & g t ; & l t ; / i t e m & g t ; & l t ; i t e m & g t ; & l t ; k e y & g t ; & l t ; s t r i n g & g t ; C o l u m n 1 6 4 & l t ; / s t r i n g & g t ; & l t ; / k e y & g t ; & l t ; v a l u e & g t ; & l t ; i n t & g t ; 1 6 3 & l t ; / i n t & g t ; & l t ; / v a l u e & g t ; & l t ; / i t e m & g t ; & l t ; i t e m & g t ; & l t ; k e y & g t ; & l t ; s t r i n g & g t ; C o l u m n 1 6 5 & l t ; / s t r i n g & g t ; & l t ; / k e y & g t ; & l t ; v a l u e & g t ; & l t ; i n t & g t ; 1 6 4 & l t ; / i n t & g t ; & l t ; / v a l u e & g t ; & l t ; / i t e m & g t ; & l t ; i t e m & g t ; & l t ; k e y & g t ; & l t ; s t r i n g & g t ; C o l u m n 1 6 6 & l t ; / s t r i n g & g t ; & l t ; / k e y & g t ; & l t ; v a l u e & g t ; & l t ; i n t & g t ; 1 6 5 & l t ; / i n t & g t ; & l t ; / v a l u e & g t ; & l t ; / i t e m & g t ; & l t ; i t e m & g t ; & l t ; k e y & g t ; & l t ; s t r i n g & g t ; C o l u m n 1 6 7 & l t ; / s t r i n g & g t ; & l t ; / k e y & g t ; & l t ; v a l u e & g t ; & l t ; i n t & g t ; 1 6 6 & l t ; / i n t & g t ; & l t ; / v a l u e & g t ; & l t ; / i t e m & g t ; & l t ; i t e m & g t ; & l t ; k e y & g t ; & l t ; s t r i n g & g t ; C o l u m n 1 6 8 & l t ; / s t r i n g & g t ; & l t ; / k e y & g t ; & l t ; v a l u e & g t ; & l t ; i n t & g t ; 1 6 7 & l t ; / i n t & g t ; & l t ; / v a l u e & g t ; & l t ; / i t e m & g t ; & l t ; i t e m & g t ; & l t ; k e y & g t ; & l t ; s t r i n g & g t ; C o l u m n 1 6 9 & l t ; / s t r i n g & g t ; & l t ; / k e y & g t ; & l t ; v a l u e & g t ; & l t ; i n t & g t ; 1 6 8 & l t ; / i n t & g t ; & l t ; / v a l u e & g t ; & l t ; / i t e m & g t ; & l t ; i t e m & g t ; & l t ; k e y & g t ; & l t ; s t r i n g & g t ; C o l u m n 1 7 0 & l t ; / s t r i n g & g t ; & l t ; / k e y & g t ; & l t ; v a l u e & g t ; & l t ; i n t & g t ; 1 6 9 & l t ; / i n t & g t ; & l t ; / v a l u e & g t ; & l t ; / i t e m & g t ; & l t ; i t e m & g t ; & l t ; k e y & g t ; & l t ; s t r i n g & g t ; C o l u m n 1 7 1 & l t ; / s t r i n g & g t ; & l t ; / k e y & g t ; & l t ; v a l u e & g t ; & l t ; i n t & g t ; 1 7 0 & l t ; / i n t & g t ; & l t ; / v a l u e & g t ; & l t ; / i t e m & g t ; & l t ; i t e m & g t ; & l t ; k e y & g t ; & l t ; s t r i n g & g t ; C o l u m n 1 7 2 & l t ; / s t r i n g & g t ; & l t ; / k e y & g t ; & l t ; v a l u e & g t ; & l t ; i n t & g t ; 1 7 1 & l t ; / i n t & g t ; & l t ; / v a l u e & g t ; & l t ; / i t e m & g t ; & l t ; i t e m & g t ; & l t ; k e y & g t ; & l t ; s t r i n g & g t ; C o l u m n 1 7 3 & l t ; / s t r i n g & g t ; & l t ; / k e y & g t ; & l t ; v a l u e & g t ; & l t ; i n t & g t ; 1 7 2 & l t ; / i n t & g t ; & l t ; / v a l u e & g t ; & l t ; / i t e m & g t ; & l t ; i t e m & g t ; & l t ; k e y & g t ; & l t ; s t r i n g & g t ; C o l u m n 1 7 4 & l t ; / s t r i n g & g t ; & l t ; / k e y & g t ; & l t ; v a l u e & g t ; & l t ; i n t & g t ; 1 7 3 & l t ; / i n t & g t ; & l t ; / v a l u e & g t ; & l t ; / i t e m & g t ; & l t ; i t e m & g t ; & l t ; k e y & g t ; & l t ; s t r i n g & g t ; C o l u m n 1 7 5 & l t ; / s t r i n g & g t ; & l t ; / k e y & g t ; & l t ; v a l u e & g t ; & l t ; i n t & g t ; 1 7 4 & l t ; / i n t & g t ; & l t ; / v a l u e & g t ; & l t ; / i t e m & g t ; & l t ; i t e m & g t ; & l t ; k e y & g t ; & l t ; s t r i n g & g t ; C o l u m n 1 7 6 & l t ; / s t r i n g & g t ; & l t ; / k e y & g t ; & l t ; v a l u e & g t ; & l t ; i n t & g t ; 1 7 5 & l t ; / i n t & g t ; & l t ; / v a l u e & g t ; & l t ; / i t e m & g t ; & l t ; i t e m & g t ; & l t ; k e y & g t ; & l t ; s t r i n g & g t ; C o l u m n 1 7 7 & l t ; / s t r i n g & g t ; & l t ; / k e y & g t ; & l t ; v a l u e & g t ; & l t ; i n t & g t ; 1 7 6 & l t ; / i n t & g t ; & l t ; / v a l u e & g t ; & l t ; / i t e m & g t ; & l t ; i t e m & g t ; & l t ; k e y & g t ; & l t ; s t r i n g & g t ; C o l u m n 1 7 8 & l t ; / s t r i n g & g t ; & l t ; / k e y & g t ; & l t ; v a l u e & g t ; & l t ; i n t & g t ; 1 7 7 & l t ; / i n t & g t ; & l t ; / v a l u e & g t ; & l t ; / i t e m & g t ; & l t ; i t e m & g t ; & l t ; k e y & g t ; & l t ; s t r i n g & g t ; C o l u m n 1 7 9 & l t ; / s t r i n g & g t ; & l t ; / k e y & g t ; & l t ; v a l u e & g t ; & l t ; i n t & g t ; 1 7 8 & l t ; / i n t & g t ; & l t ; / v a l u e & g t ; & l t ; / i t e m & g t ; & l t ; i t e m & g t ; & l t ; k e y & g t ; & l t ; s t r i n g & g t ; C o l u m n 1 8 0 & l t ; / s t r i n g & g t ; & l t ; / k e y & g t ; & l t ; v a l u e & g t ; & l t ; i n t & g t ; 1 7 9 & l t ; / i n t & g t ; & l t ; / v a l u e & g t ; & l t ; / i t e m & g t ; & l t ; i t e m & g t ; & l t ; k e y & g t ; & l t ; s t r i n g & g t ; C o l u m n 1 8 1 & l t ; / s t r i n g & g t ; & l t ; / k e y & g t ; & l t ; v a l u e & g t ; & l t ; i n t & g t ; 1 8 0 & l t ; / i n t & g t ; & l t ; / v a l u e & g t ; & l t ; / i t e m & g t ; & l t ; i t e m & g t ; & l t ; k e y & g t ; & l t ; s t r i n g & g t ; C o l u m n 1 8 2 & l t ; / s t r i n g & g t ; & l t ; / k e y & g t ; & l t ; v a l u e & g t ; & l t ; i n t & g t ; 1 8 1 & l t ; / i n t & g t ; & l t ; / v a l u e & g t ; & l t ; / i t e m & g t ; & l t ; i t e m & g t ; & l t ; k e y & g t ; & l t ; s t r i n g & g t ; C o l u m n 1 8 3 & l t ; / s t r i n g & g t ; & l t ; / k e y & g t ; & l t ; v a l u e & g t ; & l t ; i n t & g t ; 1 8 2 & l t ; / i n t & g t ; & l t ; / v a l u e & g t ; & l t ; / i t e m & g t ; & l t ; i t e m & g t ; & l t ; k e y & g t ; & l t ; s t r i n g & g t ; C o l u m n 1 8 4 & l t ; / s t r i n g & g t ; & l t ; / k e y & g t ; & l t ; v a l u e & g t ; & l t ; i n t & g t ; 1 8 3 & l t ; / i n t & g t ; & l t ; / v a l u e & g t ; & l t ; / i t e m & g t ; & l t ; i t e m & g t ; & l t ; k e y & g t ; & l t ; s t r i n g & g t ; C o l u m n 1 8 5 & l t ; / s t r i n g & g t ; & l t ; / k e y & g t ; & l t ; v a l u e & g t ; & l t ; i n t & g t ; 1 8 4 & l t ; / i n t & g t ; & l t ; / v a l u e & g t ; & l t ; / i t e m & g t ; & l t ; i t e m & g t ; & l t ; k e y & g t ; & l t ; s t r i n g & g t ; C o l u m n 1 8 6 & l t ; / s t r i n g & g t ; & l t ; / k e y & g t ; & l t ; v a l u e & g t ; & l t ; i n t & g t ; 1 8 5 & l t ; / i n t & g t ; & l t ; / v a l u e & g t ; & l t ; / i t e m & g t ; & l t ; i t e m & g t ; & l t ; k e y & g t ; & l t ; s t r i n g & g t ; C o l u m n 1 8 7 & l t ; / s t r i n g & g t ; & l t ; / k e y & g t ; & l t ; v a l u e & g t ; & l t ; i n t & g t ; 1 8 6 & l t ; / i n t & g t ; & l t ; / v a l u e & g t ; & l t ; / i t e m & g t ; & l t ; i t e m & g t ; & l t ; k e y & g t ; & l t ; s t r i n g & g t ; C o l u m n 1 8 8 & l t ; / s t r i n g & g t ; & l t ; / k e y & g t ; & l t ; v a l u e & g t ; & l t ; i n t & g t ; 1 8 7 & l t ; / i n t & g t ; & l t ; / v a l u e & g t ; & l t ; / i t e m & g t ; & l t ; i t e m & g t ; & l t ; k e y & g t ; & l t ; s t r i n g & g t ; C o l u m n 1 8 9 & l t ; / s t r i n g & g t ; & l t ; / k e y & g t ; & l t ; v a l u e & g t ; & l t ; i n t & g t ; 1 8 8 & l t ; / i n t & g t ; & l t ; / v a l u e & g t ; & l t ; / i t e m & g t ; & l t ; i t e m & g t ; & l t ; k e y & g t ; & l t ; s t r i n g & g t ; C o l u m n 1 9 0 & l t ; / s t r i n g & g t ; & l t ; / k e y & g t ; & l t ; v a l u e & g t ; & l t ; i n t & g t ; 1 8 9 & l t ; / i n t & g t ; & l t ; / v a l u e & g t ; & l t ; / i t e m & g t ; & l t ; i t e m & g t ; & l t ; k e y & g t ; & l t ; s t r i n g & g t ; C o l u m n 1 9 1 & l t ; / s t r i n g & g t ; & l t ; / k e y & g t ; & l t ; v a l u e & g t ; & l t ; i n t & g t ; 1 9 0 & l t ; / i n t & g t ; & l t ; / v a l u e & g t ; & l t ; / i t e m & g t ; & l t ; i t e m & g t ; & l t ; k e y & g t ; & l t ; s t r i n g & g t ; C o l u m n 1 9 2 & l t ; / s t r i n g & g t ; & l t ; / k e y & g t ; & l t ; v a l u e & g t ; & l t ; i n t & g t ; 1 9 1 & l t ; / i n t & g t ; & l t ; / v a l u e & g t ; & l t ; / i t e m & g t ; & l t ; i t e m & g t ; & l t ; k e y & g t ; & l t ; s t r i n g & g t ; C o l u m n 1 9 3 & l t ; / s t r i n g & g t ; & l t ; / k e y & g t ; & l t ; v a l u e & g t ; & l t ; i n t & g t ; 1 9 2 & l t ; / i n t & g t ; & l t ; / v a l u e & g t ; & l t ; / i t e m & g t ; & l t ; i t e m & g t ; & l t ; k e y & g t ; & l t ; s t r i n g & g t ; C o l u m n 1 9 4 & l t ; / s t r i n g & g t ; & l t ; / k e y & g t ; & l t ; v a l u e & g t ; & l t ; i n t & g t ; 1 9 3 & l t ; / i n t & g t ; & l t ; / v a l u e & g t ; & l t ; / i t e m & g t ; & l t ; i t e m & g t ; & l t ; k e y & g t ; & l t ; s t r i n g & g t ; C o l u m n 1 9 5 & l t ; / s t r i n g & g t ; & l t ; / k e y & g t ; & l t ; v a l u e & g t ; & l t ; i n t & g t ; 1 9 4 & l t ; / i n t & g t ; & l t ; / v a l u e & g t ; & l t ; / i t e m & g t ; & l t ; i t e m & g t ; & l t ; k e y & g t ; & l t ; s t r i n g & g t ; C o l u m n 1 9 6 & l t ; / s t r i n g & g t ; & l t ; / k e y & g t ; & l t ; v a l u e & g t ; & l t ; i n t & g t ; 1 9 5 & l t ; / i n t & g t ; & l t ; / v a l u e & g t ; & l t ; / i t e m & g t ; & l t ; i t e m & g t ; & l t ; k e y & g t ; & l t ; s t r i n g & g t ; C o l u m n 1 9 7 & l t ; / s t r i n g & g t ; & l t ; / k e y & g t ; & l t ; v a l u e & g t ; & l t ; i n t & g t ; 1 9 6 & l t ; / i n t & g t ; & l t ; / v a l u e & g t ; & l t ; / i t e m & g t ; & l t ; i t e m & g t ; & l t ; k e y & g t ; & l t ; s t r i n g & g t ; C o l u m n 1 9 8 & l t ; / s t r i n g & g t ; & l t ; / k e y & g t ; & l t ; v a l u e & g t ; & l t ; i n t & g t ; 1 9 7 & l t ; / i n t & g t ; & l t ; / v a l u e & g t ; & l t ; / i t e m & g t ; & l t ; i t e m & g t ; & l t ; k e y & g t ; & l t ; s t r i n g & g t ; C o l u m n 1 9 9 & l t ; / s t r i n g & g t ; & l t ; / k e y & g t ; & l t ; v a l u e & g t ; & l t ; i n t & g t ; 1 9 8 & l t ; / i n t & g t ; & l t ; / v a l u e & g t ; & l t ; / i t e m & g t ; & l t ; i t e m & g t ; & l t ; k e y & g t ; & l t ; s t r i n g & g t ; C o l u m n 2 0 0 & l t ; / s t r i n g & g t ; & l t ; / k e y & g t ; & l t ; v a l u e & g t ; & l t ; i n t & g t ; 1 9 9 & l t ; / i n t & g t ; & l t ; / v a l u e & g t ; & l t ; / i t e m & g t ; & l t ; i t e m & g t ; & l t ; k e y & g t ; & l t ; s t r i n g & g t ; C o l u m n 2 0 1 & l t ; / s t r i n g & g t ; & l t ; / k e y & g t ; & l t ; v a l u e & g t ; & l t ; i n t & g t ; 2 0 0 & l t ; / i n t & g t ; & l t ; / v a l u e & g t ; & l t ; / i t e m & g t ; & l t ; i t e m & g t ; & l t ; k e y & g t ; & l t ; s t r i n g & g t ; C o l u m n 2 0 2 & l t ; / s t r i n g & g t ; & l t ; / k e y & g t ; & l t ; v a l u e & g t ; & l t ; i n t & g t ; 2 0 1 & l t ; / i n t & g t ; & l t ; / v a l u e & g t ; & l t ; / i t e m & g t ; & l t ; i t e m & g t ; & l t ; k e y & g t ; & l t ; s t r i n g & g t ; C o l u m n 2 0 3 & l t ; / s t r i n g & g t ; & l t ; / k e y & g t ; & l t ; v a l u e & g t ; & l t ; i n t & g t ; 2 0 2 & l t ; / i n t & g t ; & l t ; / v a l u e & g t ; & l t ; / i t e m & g t ; & l t ; i t e m & g t ; & l t ; k e y & g t ; & l t ; s t r i n g & g t ; C o l u m n 2 0 4 & l t ; / s t r i n g & g t ; & l t ; / k e y & g t ; & l t ; v a l u e & g t ; & l t ; i n t & g t ; 2 0 3 & l t ; / i n t & g t ; & l t ; / v a l u e & g t ; & l t ; / i t e m & g t ; & l t ; i t e m & g t ; & l t ; k e y & g t ; & l t ; s t r i n g & g t ; C o l u m n 2 0 5 & l t ; / s t r i n g & g t ; & l t ; / k e y & g t ; & l t ; v a l u e & g t ; & l t ; i n t & g t ; 2 0 4 & l t ; / i n t & g t ; & l t ; / v a l u e & g t ; & l t ; / i t e m & g t ; & l t ; i t e m & g t ; & l t ; k e y & g t ; & l t ; s t r i n g & g t ; C o l u m n 2 0 6 & l t ; / s t r i n g & g t ; & l t ; / k e y & g t ; & l t ; v a l u e & g t ; & l t ; i n t & g t ; 2 0 5 & l t ; / i n t & g t ; & l t ; / v a l u e & g t ; & l t ; / i t e m & g t ; & l t ; i t e m & g t ; & l t ; k e y & g t ; & l t ; s t r i n g & g t ; C o l u m n 2 0 7 & l t ; / s t r i n g & g t ; & l t ; / k e y & g t ; & l t ; v a l u e & g t ; & l t ; i n t & g t ; 2 0 6 & l t ; / i n t & g t ; & l t ; / v a l u e & g t ; & l t ; / i t e m & g t ; & l t ; i t e m & g t ; & l t ; k e y & g t ; & l t ; s t r i n g & g t ; C o l u m n 2 0 8 & l t ; / s t r i n g & g t ; & l t ; / k e y & g t ; & l t ; v a l u e & g t ; & l t ; i n t & g t ; 2 0 7 & l t ; / i n t & g t ; & l t ; / v a l u e & g t ; & l t ; / i t e m & g t ; & l t ; i t e m & g t ; & l t ; k e y & g t ; & l t ; s t r i n g & g t ; C o l u m n 2 0 9 & l t ; / s t r i n g & g t ; & l t ; / k e y & g t ; & l t ; v a l u e & g t ; & l t ; i n t & g t ; 2 0 8 & l t ; / i n t & g t ; & l t ; / v a l u e & g t ; & l t ; / i t e m & g t ; & l t ; i t e m & g t ; & l t ; k e y & g t ; & l t ; s t r i n g & g t ; C o l u m n 2 1 0 & l t ; / s t r i n g & g t ; & l t ; / k e y & g t ; & l t ; v a l u e & g t ; & l t ; i n t & g t ; 2 0 9 & l t ; / i n t & g t ; & l t ; / v a l u e & g t ; & l t ; / i t e m & g t ; & l t ; i t e m & g t ; & l t ; k e y & g t ; & l t ; s t r i n g & g t ; C o l u m n 2 1 1 & l t ; / s t r i n g & g t ; & l t ; / k e y & g t ; & l t ; v a l u e & g t ; & l t ; i n t & g t ; 2 1 0 & l t ; / i n t & g t ; & l t ; / v a l u e & g t ; & l t ; / i t e m & g t ; & l t ; i t e m & g t ; & l t ; k e y & g t ; & l t ; s t r i n g & g t ; C o l u m n 2 1 2 & l t ; / s t r i n g & g t ; & l t ; / k e y & g t ; & l t ; v a l u e & g t ; & l t ; i n t & g t ; 2 1 1 & l t ; / i n t & g t ; & l t ; / v a l u e & g t ; & l t ; / i t e m & g t ; & l t ; i t e m & g t ; & l t ; k e y & g t ; & l t ; s t r i n g & g t ; C o l u m n 2 1 3 & l t ; / s t r i n g & g t ; & l t ; / k e y & g t ; & l t ; v a l u e & g t ; & l t ; i n t & g t ; 2 1 2 & l t ; / i n t & g t ; & l t ; / v a l u e & g t ; & l t ; / i t e m & g t ; & l t ; i t e m & g t ; & l t ; k e y & g t ; & l t ; s t r i n g & g t ; C o l u m n 2 1 4 & l t ; / s t r i n g & g t ; & l t ; / k e y & g t ; & l t ; v a l u e & g t ; & l t ; i n t & g t ; 2 1 3 & l t ; / i n t & g t ; & l t ; / v a l u e & g t ; & l t ; / i t e m & g t ; & l t ; i t e m & g t ; & l t ; k e y & g t ; & l t ; s t r i n g & g t ; C o l u m n 2 1 5 & l t ; / s t r i n g & g t ; & l t ; / k e y & g t ; & l t ; v a l u e & g t ; & l t ; i n t & g t ; 2 1 4 & l t ; / i n t & g t ; & l t ; / v a l u e & g t ; & l t ; / i t e m & g t ; & l t ; i t e m & g t ; & l t ; k e y & g t ; & l t ; s t r i n g & g t ; C o l u m n 2 1 6 & l t ; / s t r i n g & g t ; & l t ; / k e y & g t ; & l t ; v a l u e & g t ; & l t ; i n t & g t ; 2 1 5 & l t ; / i n t & g t ; & l t ; / v a l u e & g t ; & l t ; / i t e m & g t ; & l t ; i t e m & g t ; & l t ; k e y & g t ; & l t ; s t r i n g & g t ; C o l u m n 2 1 7 & l t ; / s t r i n g & g t ; & l t ; / k e y & g t ; & l t ; v a l u e & g t ; & l t ; i n t & g t ; 2 1 6 & l t ; / i n t & g t ; & l t ; / v a l u e & g t ; & l t ; / i t e m & g t ; & l t ; i t e m & g t ; & l t ; k e y & g t ; & l t ; s t r i n g & g t ; C o l u m n 2 1 8 & l t ; / s t r i n g & g t ; & l t ; / k e y & g t ; & l t ; v a l u e & g t ; & l t ; i n t & g t ; 2 1 7 & l t ; / i n t & g t ; & l t ; / v a l u e & g t ; & l t ; / i t e m & g t ; & l t ; i t e m & g t ; & l t ; k e y & g t ; & l t ; s t r i n g & g t ; C o l u m n 2 1 9 & l t ; / s t r i n g & g t ; & l t ; / k e y & g t ; & l t ; v a l u e & g t ; & l t ; i n t & g t ; 2 1 8 & l t ; / i n t & g t ; & l t ; / v a l u e & g t ; & l t ; / i t e m & g t ; & l t ; i t e m & g t ; & l t ; k e y & g t ; & l t ; s t r i n g & g t ; C o l u m n 2 2 0 & l t ; / s t r i n g & g t ; & l t ; / k e y & g t ; & l t ; v a l u e & g t ; & l t ; i n t & g t ; 2 1 9 & l t ; / i n t & g t ; & l t ; / v a l u e & g t ; & l t ; / i t e m & g t ; & l t ; i t e m & g t ; & l t ; k e y & g t ; & l t ; s t r i n g & g t ; C o l u m n 2 2 1 & l t ; / s t r i n g & g t ; & l t ; / k e y & g t ; & l t ; v a l u e & g t ; & l t ; i n t & g t ; 2 2 0 & l t ; / i n t & g t ; & l t ; / v a l u e & g t ; & l t ; / i t e m & g t ; & l t ; i t e m & g t ; & l t ; k e y & g t ; & l t ; s t r i n g & g t ; C o l u m n 2 2 2 & l t ; / s t r i n g & g t ; & l t ; / k e y & g t ; & l t ; v a l u e & g t ; & l t ; i n t & g t ; 2 2 1 & l t ; / i n t & g t ; & l t ; / v a l u e & g t ; & l t ; / i t e m & g t ; & l t ; i t e m & g t ; & l t ; k e y & g t ; & l t ; s t r i n g & g t ; C o l u m n 2 2 3 & l t ; / s t r i n g & g t ; & l t ; / k e y & g t ; & l t ; v a l u e & g t ; & l t ; i n t & g t ; 2 2 2 & l t ; / i n t & g t ; & l t ; / v a l u e & g t ; & l t ; / i t e m & g t ; & l t ; i t e m & g t ; & l t ; k e y & g t ; & l t ; s t r i n g & g t ; C o l u m n 2 2 4 & l t ; / s t r i n g & g t ; & l t ; / k e y & g t ; & l t ; v a l u e & g t ; & l t ; i n t & g t ; 2 2 3 & l t ; / i n t & g t ; & l t ; / v a l u e & g t ; & l t ; / i t e m & g t ; & l t ; i t e m & g t ; & l t ; k e y & g t ; & l t ; s t r i n g & g t ; C o l u m n 2 2 5 & l t ; / s t r i n g & g t ; & l t ; / k e y & g t ; & l t ; v a l u e & g t ; & l t ; i n t & g t ; 2 2 4 & l t ; / i n t & g t ; & l t ; / v a l u e & g t ; & l t ; / i t e m & g t ; & l t ; i t e m & g t ; & l t ; k e y & g t ; & l t ; s t r i n g & g t ; C o l u m n 2 2 6 & l t ; / s t r i n g & g t ; & l t ; / k e y & g t ; & l t ; v a l u e & g t ; & l t ; i n t & g t ; 2 2 5 & l t ; / i n t & g t ; & l t ; / v a l u e & g t ; & l t ; / i t e m & g t ; & l t ; i t e m & g t ; & l t ; k e y & g t ; & l t ; s t r i n g & g t ; C o l u m n 2 2 7 & l t ; / s t r i n g & g t ; & l t ; / k e y & g t ; & l t ; v a l u e & g t ; & l t ; i n t & g t ; 2 2 6 & l t ; / i n t & g t ; & l t ; / v a l u e & g t ; & l t ; / i t e m & g t ; & l t ; i t e m & g t ; & l t ; k e y & g t ; & l t ; s t r i n g & g t ; C o l u m n 2 2 8 & l t ; / s t r i n g & g t ; & l t ; / k e y & g t ; & l t ; v a l u e & g t ; & l t ; i n t & g t ; 2 2 7 & l t ; / i n t & g t ; & l t ; / v a l u e & g t ; & l t ; / i t e m & g t ; & l t ; i t e m & g t ; & l t ; k e y & g t ; & l t ; s t r i n g & g t ; C o l u m n 2 2 9 & l t ; / s t r i n g & g t ; & l t ; / k e y & g t ; & l t ; v a l u e & g t ; & l t ; i n t & g t ; 2 2 8 & l t ; / i n t & g t ; & l t ; / v a l u e & g t ; & l t ; / i t e m & g t ; & l t ; i t e m & g t ; & l t ; k e y & g t ; & l t ; s t r i n g & g t ; C o l u m n 2 3 0 & l t ; / s t r i n g & g t ; & l t ; / k e y & g t ; & l t ; v a l u e & g t ; & l t ; i n t & g t ; 2 2 9 & l t ; / i n t & g t ; & l t ; / v a l u e & g t ; & l t ; / i t e m & g t ; & l t ; i t e m & g t ; & l t ; k e y & g t ; & l t ; s t r i n g & g t ; C o l u m n 2 3 1 & l t ; / s t r i n g & g t ; & l t ; / k e y & g t ; & l t ; v a l u e & g t ; & l t ; i n t & g t ; 2 3 0 & l t ; / i n t & g t ; & l t ; / v a l u e & g t ; & l t ; / i t e m & g t ; & l t ; i t e m & g t ; & l t ; k e y & g t ; & l t ; s t r i n g & g t ; C o l u m n 2 3 2 & l t ; / s t r i n g & g t ; & l t ; / k e y & g t ; & l t ; v a l u e & g t ; & l t ; i n t & g t ; 2 3 1 & l t ; / i n t & g t ; & l t ; / v a l u e & g t ; & l t ; / i t e m & g t ; & l t ; i t e m & g t ; & l t ; k e y & g t ; & l t ; s t r i n g & g t ; C o l u m n 2 3 3 & l t ; / s t r i n g & g t ; & l t ; / k e y & g t ; & l t ; v a l u e & g t ; & l t ; i n t & g t ; 2 3 2 & l t ; / i n t & g t ; & l t ; / v a l u e & g t ; & l t ; / i t e m & g t ; & l t ; i t e m & g t ; & l t ; k e y & g t ; & l t ; s t r i n g & g t ; C o l u m n 2 3 4 & l t ; / s t r i n g & g t ; & l t ; / k e y & g t ; & l t ; v a l u e & g t ; & l t ; i n t & g t ; 2 3 3 & l t ; / i n t & g t ; & l t ; / v a l u e & g t ; & l t ; / i t e m & g t ; & l t ; i t e m & g t ; & l t ; k e y & g t ; & l t ; s t r i n g & g t ; C o l u m n 2 3 5 & l t ; / s t r i n g & g t ; & l t ; / k e y & g t ; & l t ; v a l u e & g t ; & l t ; i n t & g t ; 2 3 4 & l t ; / i n t & g t ; & l t ; / v a l u e & g t ; & l t ; / i t e m & g t ; & l t ; i t e m & g t ; & l t ; k e y & g t ; & l t ; s t r i n g & g t ; C o l u m n 2 3 6 & l t ; / s t r i n g & g t ; & l t ; / k e y & g t ; & l t ; v a l u e & g t ; & l t ; i n t & g t ; 2 3 5 & l t ; / i n t & g t ; & l t ; / v a l u e & g t ; & l t ; / i t e m & g t ; & l t ; i t e m & g t ; & l t ; k e y & g t ; & l t ; s t r i n g & g t ; C o l u m n 2 3 7 & l t ; / s t r i n g & g t ; & l t ; / k e y & g t ; & l t ; v a l u e & g t ; & l t ; i n t & g t ; 2 3 6 & l t ; / i n t & g t ; & l t ; / v a l u e & g t ; & l t ; / i t e m & g t ; & l t ; i t e m & g t ; & l t ; k e y & g t ; & l t ; s t r i n g & g t ; C o l u m n 2 3 8 & l t ; / s t r i n g & g t ; & l t ; / k e y & g t ; & l t ; v a l u e & g t ; & l t ; i n t & g t ; 2 3 7 & l t ; / i n t & g t ; & l t ; / v a l u e & g t ; & l t ; / i t e m & g t ; & l t ; i t e m & g t ; & l t ; k e y & g t ; & l t ; s t r i n g & g t ; C o l u m n 2 3 9 & l t ; / s t r i n g & g t ; & l t ; / k e y & g t ; & l t ; v a l u e & g t ; & l t ; i n t & g t ; 2 3 8 & l t ; / i n t & g t ; & l t ; / v a l u e & g t ; & l t ; / i t e m & g t ; & l t ; i t e m & g t ; & l t ; k e y & g t ; & l t ; s t r i n g & g t ; C o l u m n 2 4 0 & l t ; / s t r i n g & g t ; & l t ; / k e y & g t ; & l t ; v a l u e & g t ; & l t ; i n t & g t ; 2 3 9 & l t ; / i n t & g t ; & l t ; / v a l u e & g t ; & l t ; / i t e m & g t ; & l t ; i t e m & g t ; & l t ; k e y & g t ; & l t ; s t r i n g & g t ; C o l u m n 2 4 1 & l t ; / s t r i n g & g t ; & l t ; / k e y & g t ; & l t ; v a l u e & g t ; & l t ; i n t & g t ; 2 4 0 & l t ; / i n t & g t ; & l t ; / v a l u e & g t ; & l t ; / i t e m & g t ; & l t ; i t e m & g t ; & l t ; k e y & g t ; & l t ; s t r i n g & g t ; C o l u m n 2 4 2 & l t ; / s t r i n g & g t ; & l t ; / k e y & g t ; & l t ; v a l u e & g t ; & l t ; i n t & g t ; 2 4 1 & l t ; / i n t & g t ; & l t ; / v a l u e & g t ; & l t ; / i t e m & g t ; & l t ; i t e m & g t ; & l t ; k e y & g t ; & l t ; s t r i n g & g t ; C o l u m n 2 4 3 & l t ; / s t r i n g & g t ; & l t ; / k e y & g t ; & l t ; v a l u e & g t ; & l t ; i n t & g t ; 2 4 2 & l t ; / i n t & g t ; & l t ; / v a l u e & g t ; & l t ; / i t e m & g t ; & l t ; i t e m & g t ; & l t ; k e y & g t ; & l t ; s t r i n g & g t ; C o l u m n 2 4 4 & l t ; / s t r i n g & g t ; & l t ; / k e y & g t ; & l t ; v a l u e & g t ; & l t ; i n t & g t ; 2 4 3 & l t ; / i n t & g t ; & l t ; / v a l u e & g t ; & l t ; / i t e m & g t ; & l t ; i t e m & g t ; & l t ; k e y & g t ; & l t ; s t r i n g & g t ; C o l u m n 2 4 5 & l t ; / s t r i n g & g t ; & l t ; / k e y & g t ; & l t ; v a l u e & g t ; & l t ; i n t & g t ; 2 4 4 & l t ; / i n t & g t ; & l t ; / v a l u e & g t ; & l t ; / i t e m & g t ; & l t ; i t e m & g t ; & l t ; k e y & g t ; & l t ; s t r i n g & g t ; C o l u m n 2 4 6 & l t ; / s t r i n g & g t ; & l t ; / k e y & g t ; & l t ; v a l u e & g t ; & l t ; i n t & g t ; 2 4 5 & l t ; / i n t & g t ; & l t ; / v a l u e & g t ; & l t ; / i t e m & g t ; & l t ; i t e m & g t ; & l t ; k e y & g t ; & l t ; s t r i n g & g t ; C o l u m n 2 4 7 & l t ; / s t r i n g & g t ; & l t ; / k e y & g t ; & l t ; v a l u e & g t ; & l t ; i n t & g t ; 2 4 6 & l t ; / i n t & g t ; & l t ; / v a l u e & g t ; & l t ; / i t e m & g t ; & l t ; i t e m & g t ; & l t ; k e y & g t ; & l t ; s t r i n g & g t ; C o l u m n 2 4 8 & l t ; / s t r i n g & g t ; & l t ; / k e y & g t ; & l t ; v a l u e & g t ; & l t ; i n t & g t ; 2 4 7 & l t ; / i n t & g t ; & l t ; / v a l u e & g t ; & l t ; / i t e m & g t ; & l t ; i t e m & g t ; & l t ; k e y & g t ; & l t ; s t r i n g & g t ; C o l u m n 2 4 9 & l t ; / s t r i n g & g t ; & l t ; / k e y & g t ; & l t ; v a l u e & g t ; & l t ; i n t & g t ; 2 4 8 & l t ; / i n t & g t ; & l t ; / v a l u e & g t ; & l t ; / i t e m & g t ; & l t ; i t e m & g t ; & l t ; k e y & g t ; & l t ; s t r i n g & g t ; C o l u m n 2 5 0 & l t ; / s t r i n g & g t ; & l t ; / k e y & g t ; & l t ; v a l u e & g t ; & l t ; i n t & g t ; 2 4 9 & l t ; / i n t & g t ; & l t ; / v a l u e & g t ; & l t ; / i t e m & g t ; & l t ; i t e m & g t ; & l t ; k e y & g t ; & l t ; s t r i n g & g t ; C o l u m n 2 5 1 & l t ; / s t r i n g & g t ; & l t ; / k e y & g t ; & l t ; v a l u e & g t ; & l t ; i n t & g t ; 2 5 0 & l t ; / i n t & g t ; & l t ; / v a l u e & g t ; & l t ; / i t e m & g t ; & l t ; i t e m & g t ; & l t ; k e y & g t ; & l t ; s t r i n g & g t ; C o l u m n 2 5 2 & l t ; / s t r i n g & g t ; & l t ; / k e y & g t ; & l t ; v a l u e & g t ; & l t ; i n t & g t ; 2 5 1 & l t ; / i n t & g t ; & l t ; / v a l u e & g t ; & l t ; / i t e m & g t ; & l t ; i t e m & g t ; & l t ; k e y & g t ; & l t ; s t r i n g & g t ; C o l u m n 2 5 3 & l t ; / s t r i n g & g t ; & l t ; / k e y & g t ; & l t ; v a l u e & g t ; & l t ; i n t & g t ; 2 5 2 & l t ; / i n t & g t ; & l t ; / v a l u e & g t ; & l t ; / i t e m & g t ; & l t ; i t e m & g t ; & l t ; k e y & g t ; & l t ; s t r i n g & g t ; C o l u m n 2 5 4 & l t ; / s t r i n g & g t ; & l t ; / k e y & g t ; & l t ; v a l u e & g t ; & l t ; i n t & g t ; 2 5 3 & l t ; / i n t & g t ; & l t ; / v a l u e & g t ; & l t ; / i t e m & g t ; & l t ; i t e m & g t ; & l t ; k e y & g t ; & l t ; s t r i n g & g t ; C o l u m n 2 5 5 & l t ; / s t r i n g & g t ; & l t ; / k e y & g t ; & l t ; v a l u e & g t ; & l t ; i n t & g t ; 2 5 4 & l t ; / i n t & g t ; & l t ; / v a l u e & g t ; & l t ; / i t e m & g t ; & l t ; i t e m & g t ; & l t ; k e y & g t ; & l t ; s t r i n g & g t ; C o l u m n 2 5 6 & l t ; / s t r i n g & g t ; & l t ; / k e y & g t ; & l t ; v a l u e & g t ; & l t ; i n t & g t ; 2 5 5 & l t ; / i n t & g t ; & l t ; / v a l u e & g t ; & l t ; / i t e m & g t ; & l t ; i t e m & g t ; & l t ; k e y & g t ; & l t ; s t r i n g & g t ; C o l u m n 2 5 7 & l t ; / s t r i n g & g t ; & l t ; / k e y & g t ; & l t ; v a l u e & g t ; & l t ; i n t & g t ; 2 5 6 & l t ; / i n t & g t ; & l t ; / v a l u e & g t ; & l t ; / i t e m & g t ; & l t ; i t e m & g t ; & l t ; k e y & g t ; & l t ; s t r i n g & g t ; C o l u m n 2 5 8 & l t ; / s t r i n g & g t ; & l t ; / k e y & g t ; & l t ; v a l u e & g t ; & l t ; i n t & g t ; 2 5 7 & l t ; / i n t & g t ; & l t ; / v a l u e & g t ; & l t ; / i t e m & g t ; & l t ; i t e m & g t ; & l t ; k e y & g t ; & l t ; s t r i n g & g t ; C o l u m n 2 5 9 & l t ; / s t r i n g & g t ; & l t ; / k e y & g t ; & l t ; v a l u e & g t ; & l t ; i n t & g t ; 2 5 8 & l t ; / i n t & g t ; & l t ; / v a l u e & g t ; & l t ; / i t e m & g t ; & l t ; i t e m & g t ; & l t ; k e y & g t ; & l t ; s t r i n g & g t ; C o l u m n 2 6 0 & l t ; / s t r i n g & g t ; & l t ; / k e y & g t ; & l t ; v a l u e & g t ; & l t ; i n t & g t ; 2 5 9 & l t ; / i n t & g t ; & l t ; / v a l u e & g t ; & l t ; / i t e m & g t ; & l t ; i t e m & g t ; & l t ; k e y & g t ; & l t ; s t r i n g & g t ; C o l u m n 2 6 1 & l t ; / s t r i n g & g t ; & l t ; / k e y & g t ; & l t ; v a l u e & g t ; & l t ; i n t & g t ; 2 6 0 & l t ; / i n t & g t ; & l t ; / v a l u e & g t ; & l t ; / i t e m & g t ; & l t ; i t e m & g t ; & l t ; k e y & g t ; & l t ; s t r i n g & g t ; C o l u m n 2 6 2 & l t ; / s t r i n g & g t ; & l t ; / k e y & g t ; & l t ; v a l u e & g t ; & l t ; i n t & g t ; 2 6 1 & l t ; / i n t & g t ; & l t ; / v a l u e & g t ; & l t ; / i t e m & g t ; & l t ; i t e m & g t ; & l t ; k e y & g t ; & l t ; s t r i n g & g t ; C o l u m n 2 6 3 & l t ; / s t r i n g & g t ; & l t ; / k e y & g t ; & l t ; v a l u e & g t ; & l t ; i n t & g t ; 2 6 2 & l t ; / i n t & g t ; & l t ; / v a l u e & g t ; & l t ; / i t e m & g t ; & l t ; i t e m & g t ; & l t ; k e y & g t ; & l t ; s t r i n g & g t ; C o l u m n 2 6 4 & l t ; / s t r i n g & g t ; & l t ; / k e y & g t ; & l t ; v a l u e & g t ; & l t ; i n t & g t ; 2 6 3 & l t ; / i n t & g t ; & l t ; / v a l u e & g t ; & l t ; / i t e m & g t ; & l t ; i t e m & g t ; & l t ; k e y & g t ; & l t ; s t r i n g & g t ; C o l u m n 2 6 5 & l t ; / s t r i n g & g t ; & l t ; / k e y & g t ; & l t ; v a l u e & g t ; & l t ; i n t & g t ; 2 6 4 & l t ; / i n t & g t ; & l t ; / v a l u e & g t ; & l t ; / i t e m & g t ; & l t ; i t e m & g t ; & l t ; k e y & g t ; & l t ; s t r i n g & g t ; C o l u m n 2 6 6 & l t ; / s t r i n g & g t ; & l t ; / k e y & g t ; & l t ; v a l u e & g t ; & l t ; i n t & g t ; 2 6 5 & l t ; / i n t & g t ; & l t ; / v a l u e & g t ; & l t ; / i t e m & g t ; & l t ; i t e m & g t ; & l t ; k e y & g t ; & l t ; s t r i n g & g t ; C o l u m n 2 6 7 & l t ; / s t r i n g & g t ; & l t ; / k e y & g t ; & l t ; v a l u e & g t ; & l t ; i n t & g t ; 2 6 6 & l t ; / i n t & g t ; & l t ; / v a l u e & g t ; & l t ; / i t e m & g t ; & l t ; i t e m & g t ; & l t ; k e y & g t ; & l t ; s t r i n g & g t ; C o l u m n 2 6 8 & l t ; / s t r i n g & g t ; & l t ; / k e y & g t ; & l t ; v a l u e & g t ; & l t ; i n t & g t ; 2 6 7 & l t ; / i n t & g t ; & l t ; / v a l u e & g t ; & l t ; / i t e m & g t ; & l t ; i t e m & g t ; & l t ; k e y & g t ; & l t ; s t r i n g & g t ; C o l u m n 2 6 9 & l t ; / s t r i n g & g t ; & l t ; / k e y & g t ; & l t ; v a l u e & g t ; & l t ; i n t & g t ; 2 6 8 & l t ; / i n t & g t ; & l t ; / v a l u e & g t ; & l t ; / i t e m & g t ; & l t ; i t e m & g t ; & l t ; k e y & g t ; & l t ; s t r i n g & g t ; C o l u m n 2 7 0 & l t ; / s t r i n g & g t ; & l t ; / k e y & g t ; & l t ; v a l u e & g t ; & l t ; i n t & g t ; 2 6 9 & l t ; / i n t & g t ; & l t ; / v a l u e & g t ; & l t ; / i t e m & g t ; & l t ; i t e m & g t ; & l t ; k e y & g t ; & l t ; s t r i n g & g t ; C o l u m n 2 7 1 & l t ; / s t r i n g & g t ; & l t ; / k e y & g t ; & l t ; v a l u e & g t ; & l t ; i n t & g t ; 2 7 0 & l t ; / i n t & g t ; & l t ; / v a l u e & g t ; & l t ; / i t e m & g t ; & l t ; i t e m & g t ; & l t ; k e y & g t ; & l t ; s t r i n g & g t ; C o l u m n 2 7 2 & l t ; / s t r i n g & g t ; & l t ; / k e y & g t ; & l t ; v a l u e & g t ; & l t ; i n t & g t ; 2 7 1 & l t ; / i n t & g t ; & l t ; / v a l u e & g t ; & l t ; / i t e m & g t ; & l t ; i t e m & g t ; & l t ; k e y & g t ; & l t ; s t r i n g & g t ; C o l u m n 2 7 3 & l t ; / s t r i n g & g t ; & l t ; / k e y & g t ; & l t ; v a l u e & g t ; & l t ; i n t & g t ; 2 7 2 & l t ; / i n t & g t ; & l t ; / v a l u e & g t ; & l t ; / i t e m & g t ; & l t ; i t e m & g t ; & l t ; k e y & g t ; & l t ; s t r i n g & g t ; C o l u m n 2 7 4 & l t ; / s t r i n g & g t ; & l t ; / k e y & g t ; & l t ; v a l u e & g t ; & l t ; i n t & g t ; 2 7 3 & l t ; / i n t & g t ; & l t ; / v a l u e & g t ; & l t ; / i t e m & g t ; & l t ; i t e m & g t ; & l t ; k e y & g t ; & l t ; s t r i n g & g t ; C o l u m n 2 7 5 & l t ; / s t r i n g & g t ; & l t ; / k e y & g t ; & l t ; v a l u e & g t ; & l t ; i n t & g t ; 2 7 4 & l t ; / i n t & g t ; & l t ; / v a l u e & g t ; & l t ; / i t e m & g t ; & l t ; i t e m & g t ; & l t ; k e y & g t ; & l t ; s t r i n g & g t ; C o l u m n 2 7 6 & l t ; / s t r i n g & g t ; & l t ; / k e y & g t ; & l t ; v a l u e & g t ; & l t ; i n t & g t ; 2 7 5 & l t ; / i n t & g t ; & l t ; / v a l u e & g t ; & l t ; / i t e m & g t ; & l t ; i t e m & g t ; & l t ; k e y & g t ; & l t ; s t r i n g & g t ; C o l u m n 2 7 7 & l t ; / s t r i n g & g t ; & l t ; / k e y & g t ; & l t ; v a l u e & g t ; & l t ; i n t & g t ; 2 7 6 & l t ; / i n t & g t ; & l t ; / v a l u e & g t ; & l t ; / i t e m & g t ; & l t ; i t e m & g t ; & l t ; k e y & g t ; & l t ; s t r i n g & g t ; C o l u m n 2 7 8 & l t ; / s t r i n g & g t ; & l t ; / k e y & g t ; & l t ; v a l u e & g t ; & l t ; i n t & g t ; 2 7 7 & l t ; / i n t & g t ; & l t ; / v a l u e & g t ; & l t ; / i t e m & g t ; & l t ; i t e m & g t ; & l t ; k e y & g t ; & l t ; s t r i n g & g t ; C o l u m n 2 7 9 & l t ; / s t r i n g & g t ; & l t ; / k e y & g t ; & l t ; v a l u e & g t ; & l t ; i n t & g t ; 2 7 8 & l t ; / i n t & g t ; & l t ; / v a l u e & g t ; & l t ; / i t e m & g t ; & l t ; i t e m & g t ; & l t ; k e y & g t ; & l t ; s t r i n g & g t ; C o l u m n 2 8 0 & l t ; / s t r i n g & g t ; & l t ; / k e y & g t ; & l t ; v a l u e & g t ; & l t ; i n t & g t ; 2 7 9 & l t ; / i n t & g t ; & l t ; / v a l u e & g t ; & l t ; / i t e m & g t ; & l t ; i t e m & g t ; & l t ; k e y & g t ; & l t ; s t r i n g & g t ; C o l u m n 2 8 1 & l t ; / s t r i n g & g t ; & l t ; / k e y & g t ; & l t ; v a l u e & g t ; & l t ; i n t & g t ; 2 8 0 & l t ; / i n t & g t ; & l t ; / v a l u e & g t ; & l t ; / i t e m & g t ; & l t ; i t e m & g t ; & l t ; k e y & g t ; & l t ; s t r i n g & g t ; C o l u m n 2 8 2 & l t ; / s t r i n g & g t ; & l t ; / k e y & g t ; & l t ; v a l u e & g t ; & l t ; i n t & g t ; 2 8 1 & l t ; / i n t & g t ; & l t ; / v a l u e & g t ; & l t ; / i t e m & g t ; & l t ; i t e m & g t ; & l t ; k e y & g t ; & l t ; s t r i n g & g t ; C o l u m n 2 8 3 & l t ; / s t r i n g & g t ; & l t ; / k e y & g t ; & l t ; v a l u e & g t ; & l t ; i n t & g t ; 2 8 2 & l t ; / i n t & g t ; & l t ; / v a l u e & g t ; & l t ; / i t e m & g t ; & l t ; i t e m & g t ; & l t ; k e y & g t ; & l t ; s t r i n g & g t ; C o l u m n 2 8 4 & l t ; / s t r i n g & g t ; & l t ; / k e y & g t ; & l t ; v a l u e & g t ; & l t ; i n t & g t ; 2 8 3 & l t ; / i n t & g t ; & l t ; / v a l u e & g t ; & l t ; / i t e m & g t ; & l t ; i t e m & g t ; & l t ; k e y & g t ; & l t ; s t r i n g & g t ; C o l u m n 2 8 5 & l t ; / s t r i n g & g t ; & l t ; / k e y & g t ; & l t ; v a l u e & g t ; & l t ; i n t & g t ; 2 8 4 & l t ; / i n t & g t ; & l t ; / v a l u e & g t ; & l t ; / i t e m & g t ; & l t ; i t e m & g t ; & l t ; k e y & g t ; & l t ; s t r i n g & g t ; C o l u m n 2 8 6 & l t ; / s t r i n g & g t ; & l t ; / k e y & g t ; & l t ; v a l u e & g t ; & l t ; i n t & g t ; 2 8 5 & l t ; / i n t & g t ; & l t ; / v a l u e & g t ; & l t ; / i t e m & g t ; & l t ; i t e m & g t ; & l t ; k e y & g t ; & l t ; s t r i n g & g t ; C o l u m n 2 8 7 & l t ; / s t r i n g & g t ; & l t ; / k e y & g t ; & l t ; v a l u e & g t ; & l t ; i n t & g t ; 2 8 6 & l t ; / i n t & g t ; & l t ; / v a l u e & g t ; & l t ; / i t e m & g t ; & l t ; i t e m & g t ; & l t ; k e y & g t ; & l t ; s t r i n g & g t ; C o l u m n 2 8 8 & l t ; / s t r i n g & g t ; & l t ; / k e y & g t ; & l t ; v a l u e & g t ; & l t ; i n t & g t ; 2 8 7 & l t ; / i n t & g t ; & l t ; / v a l u e & g t ; & l t ; / i t e m & g t ; & l t ; i t e m & g t ; & l t ; k e y & g t ; & l t ; s t r i n g & g t ; C o l u m n 2 8 9 & l t ; / s t r i n g & g t ; & l t ; / k e y & g t ; & l t ; v a l u e & g t ; & l t ; i n t & g t ; 2 8 8 & l t ; / i n t & g t ; & l t ; / v a l u e & g t ; & l t ; / i t e m & g t ; & l t ; i t e m & g t ; & l t ; k e y & g t ; & l t ; s t r i n g & g t ; C o l u m n 2 9 0 & l t ; / s t r i n g & g t ; & l t ; / k e y & g t ; & l t ; v a l u e & g t ; & l t ; i n t & g t ; 2 8 9 & l t ; / i n t & g t ; & l t ; / v a l u e & g t ; & l t ; / i t e m & g t ; & l t ; i t e m & g t ; & l t ; k e y & g t ; & l t ; s t r i n g & g t ; C o l u m n 2 9 1 & l t ; / s t r i n g & g t ; & l t ; / k e y & g t ; & l t ; v a l u e & g t ; & l t ; i n t & g t ; 2 9 0 & l t ; / i n t & g t ; & l t ; / v a l u e & g t ; & l t ; / i t e m & g t ; & l t ; i t e m & g t ; & l t ; k e y & g t ; & l t ; s t r i n g & g t ; C o l u m n 2 9 2 & l t ; / s t r i n g & g t ; & l t ; / k e y & g t ; & l t ; v a l u e & g t ; & l t ; i n t & g t ; 2 9 1 & l t ; / i n t & g t ; & l t ; / v a l u e & g t ; & l t ; / i t e m & g t ; & l t ; i t e m & g t ; & l t ; k e y & g t ; & l t ; s t r i n g & g t ; C o l u m n 2 9 3 & l t ; / s t r i n g & g t ; & l t ; / k e y & g t ; & l t ; v a l u e & g t ; & l t ; i n t & g t ; 2 9 2 & l t ; / i n t & g t ; & l t ; / v a l u e & g t ; & l t ; / i t e m & g t ; & l t ; i t e m & g t ; & l t ; k e y & g t ; & l t ; s t r i n g & g t ; C o l u m n 2 9 4 & l t ; / s t r i n g & g t ; & l t ; / k e y & g t ; & l t ; v a l u e & g t ; & l t ; i n t & g t ; 2 9 3 & l t ; / i n t & g t ; & l t ; / v a l u e & g t ; & l t ; / i t e m & g t ; & l t ; i t e m & g t ; & l t ; k e y & g t ; & l t ; s t r i n g & g t ; C o l u m n 2 9 5 & l t ; / s t r i n g & g t ; & l t ; / k e y & g t ; & l t ; v a l u e & g t ; & l t ; i n t & g t ; 2 9 4 & l t ; / i n t & g t ; & l t ; / v a l u e & g t ; & l t ; / i t e m & g t ; & l t ; i t e m & g t ; & l t ; k e y & g t ; & l t ; s t r i n g & g t ; C o l u m n 2 9 6 & l t ; / s t r i n g & g t ; & l t ; / k e y & g t ; & l t ; v a l u e & g t ; & l t ; i n t & g t ; 2 9 5 & l t ; / i n t & g t ; & l t ; / v a l u e & g t ; & l t ; / i t e m & g t ; & l t ; i t e m & g t ; & l t ; k e y & g t ; & l t ; s t r i n g & g t ; C o l u m n 2 9 7 & l t ; / s t r i n g & g t ; & l t ; / k e y & g t ; & l t ; v a l u e & g t ; & l t ; i n t & g t ; 2 9 6 & l t ; / i n t & g t ; & l t ; / v a l u e & g t ; & l t ; / i t e m & g t ; & l t ; i t e m & g t ; & l t ; k e y & g t ; & l t ; s t r i n g & g t ; C o l u m n 2 9 8 & l t ; / s t r i n g & g t ; & l t ; / k e y & g t ; & l t ; v a l u e & g t ; & l t ; i n t & g t ; 2 9 7 & l t ; / i n t & g t ; & l t ; / v a l u e & g t ; & l t ; / i t e m & g t ; & l t ; i t e m & g t ; & l t ; k e y & g t ; & l t ; s t r i n g & g t ; C o l u m n 2 9 9 & l t ; / s t r i n g & g t ; & l t ; / k e y & g t ; & l t ; v a l u e & g t ; & l t ; i n t & g t ; 2 9 8 & l t ; / i n t & g t ; & l t ; / v a l u e & g t ; & l t ; / i t e m & g t ; & l t ; i t e m & g t ; & l t ; k e y & g t ; & l t ; s t r i n g & g t ; C o l u m n 3 0 0 & l t ; / s t r i n g & g t ; & l t ; / k e y & g t ; & l t ; v a l u e & g t ; & l t ; i n t & g t ; 2 9 9 & l t ; / i n t & g t ; & l t ; / v a l u e & g t ; & l t ; / i t e m & g t ; & l t ; i t e m & g t ; & l t ; k e y & g t ; & l t ; s t r i n g & g t ; C o l u m n 3 0 1 & l t ; / s t r i n g & g t ; & l t ; / k e y & g t ; & l t ; v a l u e & g t ; & l t ; i n t & g t ; 3 0 0 & l t ; / i n t & g t ; & l t ; / v a l u e & g t ; & l t ; / i t e m & g t ; & l t ; i t e m & g t ; & l t ; k e y & g t ; & l t ; s t r i n g & g t ; C o l u m n 3 0 2 & l t ; / s t r i n g & g t ; & l t ; / k e y & g t ; & l t ; v a l u e & g t ; & l t ; i n t & g t ; 3 0 1 & l t ; / i n t & g t ; & l t ; / v a l u e & g t ; & l t ; / i t e m & g t ; & l t ; i t e m & g t ; & l t ; k e y & g t ; & l t ; s t r i n g & g t ; C o l u m n 3 0 3 & l t ; / s t r i n g & g t ; & l t ; / k e y & g t ; & l t ; v a l u e & g t ; & l t ; i n t & g t ; 3 0 2 & l t ; / i n t & g t ; & l t ; / v a l u e & g t ; & l t ; / i t e m & g t ; & l t ; i t e m & g t ; & l t ; k e y & g t ; & l t ; s t r i n g & g t ; C o l u m n 3 0 4 & l t ; / s t r i n g & g t ; & l t ; / k e y & g t ; & l t ; v a l u e & g t ; & l t ; i n t & g t ; 3 0 3 & l t ; / i n t & g t ; & l t ; / v a l u e & g t ; & l t ; / i t e m & g t ; & l t ; i t e m & g t ; & l t ; k e y & g t ; & l t ; s t r i n g & g t ; C o l u m n 3 0 5 & l t ; / s t r i n g & g t ; & l t ; / k e y & g t ; & l t ; v a l u e & g t ; & l t ; i n t & g t ; 3 0 4 & l t ; / i n t & g t ; & l t ; / v a l u e & g t ; & l t ; / i t e m & g t ; & l t ; i t e m & g t ; & l t ; k e y & g t ; & l t ; s t r i n g & g t ; C o l u m n 3 0 6 & l t ; / s t r i n g & g t ; & l t ; / k e y & g t ; & l t ; v a l u e & g t ; & l t ; i n t & g t ; 3 0 5 & l t ; / i n t & g t ; & l t ; / v a l u e & g t ; & l t ; / i t e m & g t ; & l t ; i t e m & g t ; & l t ; k e y & g t ; & l t ; s t r i n g & g t ; C o l u m n 3 0 7 & l t ; / s t r i n g & g t ; & l t ; / k e y & g t ; & l t ; v a l u e & g t ; & l t ; i n t & g t ; 3 0 6 & l t ; / i n t & g t ; & l t ; / v a l u e & g t ; & l t ; / i t e m & g t ; & l t ; i t e m & g t ; & l t ; k e y & g t ; & l t ; s t r i n g & g t ; C o l u m n 3 0 8 & l t ; / s t r i n g & g t ; & l t ; / k e y & g t ; & l t ; v a l u e & g t ; & l t ; i n t & g t ; 3 0 7 & l t ; / i n t & g t ; & l t ; / v a l u e & g t ; & l t ; / i t e m & g t ; & l t ; i t e m & g t ; & l t ; k e y & g t ; & l t ; s t r i n g & g t ; C o l u m n 3 0 9 & l t ; / s t r i n g & g t ; & l t ; / k e y & g t ; & l t ; v a l u e & g t ; & l t ; i n t & g t ; 3 0 8 & l t ; / i n t & g t ; & l t ; / v a l u e & g t ; & l t ; / i t e m & g t ; & l t ; i t e m & g t ; & l t ; k e y & g t ; & l t ; s t r i n g & g t ; C o l u m n 3 1 0 & l t ; / s t r i n g & g t ; & l t ; / k e y & g t ; & l t ; v a l u e & g t ; & l t ; i n t & g t ; 3 0 9 & l t ; / i n t & g t ; & l t ; / v a l u e & g t ; & l t ; / i t e m & g t ; & l t ; i t e m & g t ; & l t ; k e y & g t ; & l t ; s t r i n g & g t ; C o l u m n 3 1 1 & l t ; / s t r i n g & g t ; & l t ; / k e y & g t ; & l t ; v a l u e & g t ; & l t ; i n t & g t ; 3 1 0 & l t ; / i n t & g t ; & l t ; / v a l u e & g t ; & l t ; / i t e m & g t ; & l t ; i t e m & g t ; & l t ; k e y & g t ; & l t ; s t r i n g & g t ; C o l u m n 3 1 2 & l t ; / s t r i n g & g t ; & l t ; / k e y & g t ; & l t ; v a l u e & g t ; & l t ; i n t & g t ; 3 1 1 & l t ; / i n t & g t ; & l t ; / v a l u e & g t ; & l t ; / i t e m & g t ; & l t ; i t e m & g t ; & l t ; k e y & g t ; & l t ; s t r i n g & g t ; C o l u m n 3 1 3 & l t ; / s t r i n g & g t ; & l t ; / k e y & g t ; & l t ; v a l u e & g t ; & l t ; i n t & g t ; 3 1 2 & l t ; / i n t & g t ; & l t ; / v a l u e & g t ; & l t ; / i t e m & g t ; & l t ; i t e m & g t ; & l t ; k e y & g t ; & l t ; s t r i n g & g t ; C o l u m n 3 1 4 & l t ; / s t r i n g & g t ; & l t ; / k e y & g t ; & l t ; v a l u e & g t ; & l t ; i n t & g t ; 3 1 3 & l t ; / i n t & g t ; & l t ; / v a l u e & g t ; & l t ; / i t e m & g t ; & l t ; i t e m & g t ; & l t ; k e y & g t ; & l t ; s t r i n g & g t ; C o l u m n 3 1 5 & l t ; / s t r i n g & g t ; & l t ; / k e y & g t ; & l t ; v a l u e & g t ; & l t ; i n t & g t ; 3 1 4 & l t ; / i n t & g t ; & l t ; / v a l u e & g t ; & l t ; / i t e m & g t ; & l t ; i t e m & g t ; & l t ; k e y & g t ; & l t ; s t r i n g & g t ; C o l u m n 3 1 6 & l t ; / s t r i n g & g t ; & l t ; / k e y & g t ; & l t ; v a l u e & g t ; & l t ; i n t & g t ; 3 1 5 & l t ; / i n t & g t ; & l t ; / v a l u e & g t ; & l t ; / i t e m & g t ; & l t ; i t e m & g t ; & l t ; k e y & g t ; & l t ; s t r i n g & g t ; C o l u m n 3 1 7 & l t ; / s t r i n g & g t ; & l t ; / k e y & g t ; & l t ; v a l u e & g t ; & l t ; i n t & g t ; 3 1 6 & l t ; / i n t & g t ; & l t ; / v a l u e & g t ; & l t ; / i t e m & g t ; & l t ; i t e m & g t ; & l t ; k e y & g t ; & l t ; s t r i n g & g t ; C o l u m n 3 1 8 & l t ; / s t r i n g & g t ; & l t ; / k e y & g t ; & l t ; v a l u e & g t ; & l t ; i n t & g t ; 3 1 7 & l t ; / i n t & g t ; & l t ; / v a l u e & g t ; & l t ; / i t e m & g t ; & l t ; i t e m & g t ; & l t ; k e y & g t ; & l t ; s t r i n g & g t ; C o l u m n 3 1 9 & l t ; / s t r i n g & g t ; & l t ; / k e y & g t ; & l t ; v a l u e & g t ; & l t ; i n t & g t ; 3 1 8 & l t ; / i n t & g t ; & l t ; / v a l u e & g t ; & l t ; / i t e m & g t ; & l t ; i t e m & g t ; & l t ; k e y & g t ; & l t ; s t r i n g & g t ; C o l u m n 3 2 0 & l t ; / s t r i n g & g t ; & l t ; / k e y & g t ; & l t ; v a l u e & g t ; & l t ; i n t & g t ; 3 1 9 & l t ; / i n t & g t ; & l t ; / v a l u e & g t ; & l t ; / i t e m & g t ; & l t ; i t e m & g t ; & l t ; k e y & g t ; & l t ; s t r i n g & g t ; C o l u m n 3 2 1 & l t ; / s t r i n g & g t ; & l t ; / k e y & g t ; & l t ; v a l u e & g t ; & l t ; i n t & g t ; 3 2 0 & l t ; / i n t & g t ; & l t ; / v a l u e & g t ; & l t ; / i t e m & g t ; & l t ; i t e m & g t ; & l t ; k e y & g t ; & l t ; s t r i n g & g t ; C o l u m n 3 2 2 & l t ; / s t r i n g & g t ; & l t ; / k e y & g t ; & l t ; v a l u e & g t ; & l t ; i n t & g t ; 3 2 1 & l t ; / i n t & g t ; & l t ; / v a l u e & g t ; & l t ; / i t e m & g t ; & l t ; i t e m & g t ; & l t ; k e y & g t ; & l t ; s t r i n g & g t ; C o l u m n 3 2 3 & l t ; / s t r i n g & g t ; & l t ; / k e y & g t ; & l t ; v a l u e & g t ; & l t ; i n t & g t ; 3 2 2 & l t ; / i n t & g t ; & l t ; / v a l u e & g t ; & l t ; / i t e m & g t ; & l t ; i t e m & g t ; & l t ; k e y & g t ; & l t ; s t r i n g & g t ; C o l u m n 3 2 4 & l t ; / s t r i n g & g t ; & l t ; / k e y & g t ; & l t ; v a l u e & g t ; & l t ; i n t & g t ; 3 2 3 & l t ; / i n t & g t ; & l t ; / v a l u e & g t ; & l t ; / i t e m & g t ; & l t ; i t e m & g t ; & l t ; k e y & g t ; & l t ; s t r i n g & g t ; C o l u m n 3 2 5 & l t ; / s t r i n g & g t ; & l t ; / k e y & g t ; & l t ; v a l u e & g t ; & l t ; i n t & g t ; 3 2 4 & l t ; / i n t & g t ; & l t ; / v a l u e & g t ; & l t ; / i t e m & g t ; & l t ; i t e m & g t ; & l t ; k e y & g t ; & l t ; s t r i n g & g t ; C o l u m n 3 2 6 & l t ; / s t r i n g & g t ; & l t ; / k e y & g t ; & l t ; v a l u e & g t ; & l t ; i n t & g t ; 3 2 5 & l t ; / i n t & g t ; & l t ; / v a l u e & g t ; & l t ; / i t e m & g t ; & l t ; i t e m & g t ; & l t ; k e y & g t ; & l t ; s t r i n g & g t ; C o l u m n 3 2 7 & l t ; / s t r i n g & g t ; & l t ; / k e y & g t ; & l t ; v a l u e & g t ; & l t ; i n t & g t ; 3 2 6 & l t ; / i n t & g t ; & l t ; / v a l u e & g t ; & l t ; / i t e m & g t ; & l t ; i t e m & g t ; & l t ; k e y & g t ; & l t ; s t r i n g & g t ; C o l u m n 3 2 8 & l t ; / s t r i n g & g t ; & l t ; / k e y & g t ; & l t ; v a l u e & g t ; & l t ; i n t & g t ; 3 2 7 & l t ; / i n t & g t ; & l t ; / v a l u e & g t ; & l t ; / i t e m & g t ; & l t ; i t e m & g t ; & l t ; k e y & g t ; & l t ; s t r i n g & g t ; C o l u m n 3 2 9 & l t ; / s t r i n g & g t ; & l t ; / k e y & g t ; & l t ; v a l u e & g t ; & l t ; i n t & g t ; 3 2 8 & l t ; / i n t & g t ; & l t ; / v a l u e & g t ; & l t ; / i t e m & g t ; & l t ; i t e m & g t ; & l t ; k e y & g t ; & l t ; s t r i n g & g t ; C o l u m n 3 3 0 & l t ; / s t r i n g & g t ; & l t ; / k e y & g t ; & l t ; v a l u e & g t ; & l t ; i n t & g t ; 3 2 9 & l t ; / i n t & g t ; & l t ; / v a l u e & g t ; & l t ; / i t e m & g t ; & l t ; i t e m & g t ; & l t ; k e y & g t ; & l t ; s t r i n g & g t ; C o l u m n 3 3 1 & l t ; / s t r i n g & g t ; & l t ; / k e y & g t ; & l t ; v a l u e & g t ; & l t ; i n t & g t ; 3 3 0 & l t ; / i n t & g t ; & l t ; / v a l u e & g t ; & l t ; / i t e m & g t ; & l t ; i t e m & g t ; & l t ; k e y & g t ; & l t ; s t r i n g & g t ; C o l u m n 3 3 2 & l t ; / s t r i n g & g t ; & l t ; / k e y & g t ; & l t ; v a l u e & g t ; & l t ; i n t & g t ; 3 3 1 & l t ; / i n t & g t ; & l t ; / v a l u e & g t ; & l t ; / i t e m & g t ; & l t ; i t e m & g t ; & l t ; k e y & g t ; & l t ; s t r i n g & g t ; C o l u m n 3 3 3 & l t ; / s t r i n g & g t ; & l t ; / k e y & g t ; & l t ; v a l u e & g t ; & l t ; i n t & g t ; 3 3 2 & l t ; / i n t & g t ; & l t ; / v a l u e & g t ; & l t ; / i t e m & g t ; & l t ; i t e m & g t ; & l t ; k e y & g t ; & l t ; s t r i n g & g t ; C o l u m n 3 3 4 & l t ; / s t r i n g & g t ; & l t ; / k e y & g t ; & l t ; v a l u e & g t ; & l t ; i n t & g t ; 3 3 3 & l t ; / i n t & g t ; & l t ; / v a l u e & g t ; & l t ; / i t e m & g t ; & l t ; i t e m & g t ; & l t ; k e y & g t ; & l t ; s t r i n g & g t ; C o l u m n 3 3 5 & l t ; / s t r i n g & g t ; & l t ; / k e y & g t ; & l t ; v a l u e & g t ; & l t ; i n t & g t ; 3 3 4 & l t ; / i n t & g t ; & l t ; / v a l u e & g t ; & l t ; / i t e m & g t ; & l t ; i t e m & g t ; & l t ; k e y & g t ; & l t ; s t r i n g & g t ; C o l u m n 3 3 6 & l t ; / s t r i n g & g t ; & l t ; / k e y & g t ; & l t ; v a l u e & g t ; & l t ; i n t & g t ; 3 3 5 & l t ; / i n t & g t ; & l t ; / v a l u e & g t ; & l t ; / i t e m & g t ; & l t ; i t e m & g t ; & l t ; k e y & g t ; & l t ; s t r i n g & g t ; C o l u m n 3 3 7 & l t ; / s t r i n g & g t ; & l t ; / k e y & g t ; & l t ; v a l u e & g t ; & l t ; i n t & g t ; 3 3 6 & l t ; / i n t & g t ; & l t ; / v a l u e & g t ; & l t ; / i t e m & g t ; & l t ; i t e m & g t ; & l t ; k e y & g t ; & l t ; s t r i n g & g t ; C o l u m n 3 3 8 & l t ; / s t r i n g & g t ; & l t ; / k e y & g t ; & l t ; v a l u e & g t ; & l t ; i n t & g t ; 3 3 7 & l t ; / i n t & g t ; & l t ; / v a l u e & g t ; & l t ; / i t e m & g t ; & l t ; i t e m & g t ; & l t ; k e y & g t ; & l t ; s t r i n g & g t ; C o l u m n 3 3 9 & l t ; / s t r i n g & g t ; & l t ; / k e y & g t ; & l t ; v a l u e & g t ; & l t ; i n t & g t ; 3 3 8 & l t ; / i n t & g t ; & l t ; / v a l u e & g t ; & l t ; / i t e m & g t ; & l t ; i t e m & g t ; & l t ; k e y & g t ; & l t ; s t r i n g & g t ; C o l u m n 3 4 0 & l t ; / s t r i n g & g t ; & l t ; / k e y & g t ; & l t ; v a l u e & g t ; & l t ; i n t & g t ; 3 3 9 & l t ; / i n t & g t ; & l t ; / v a l u e & g t ; & l t ; / i t e m & g t ; & l t ; i t e m & g t ; & l t ; k e y & g t ; & l t ; s t r i n g & g t ; C o l u m n 3 4 1 & l t ; / s t r i n g & g t ; & l t ; / k e y & g t ; & l t ; v a l u e & g t ; & l t ; i n t & g t ; 3 4 0 & l t ; / i n t & g t ; & l t ; / v a l u e & g t ; & l t ; / i t e m & g t ; & l t ; i t e m & g t ; & l t ; k e y & g t ; & l t ; s t r i n g & g t ; C o l u m n 3 4 2 & l t ; / s t r i n g & g t ; & l t ; / k e y & g t ; & l t ; v a l u e & g t ; & l t ; i n t & g t ; 3 4 1 & l t ; / i n t & g t ; & l t ; / v a l u e & g t ; & l t ; / i t e m & g t ; & l t ; i t e m & g t ; & l t ; k e y & g t ; & l t ; s t r i n g & g t ; C o l u m n 3 4 3 & l t ; / s t r i n g & g t ; & l t ; / k e y & g t ; & l t ; v a l u e & g t ; & l t ; i n t & g t ; 3 4 2 & l t ; / i n t & g t ; & l t ; / v a l u e & g t ; & l t ; / i t e m & g t ; & l t ; i t e m & g t ; & l t ; k e y & g t ; & l t ; s t r i n g & g t ; C o l u m n 3 4 4 & l t ; / s t r i n g & g t ; & l t ; / k e y & g t ; & l t ; v a l u e & g t ; & l t ; i n t & g t ; 3 4 3 & l t ; / i n t & g t ; & l t ; / v a l u e & g t ; & l t ; / i t e m & g t ; & l t ; i t e m & g t ; & l t ; k e y & g t ; & l t ; s t r i n g & g t ; C o l u m n 3 4 5 & l t ; / s t r i n g & g t ; & l t ; / k e y & g t ; & l t ; v a l u e & g t ; & l t ; i n t & g t ; 3 4 4 & l t ; / i n t & g t ; & l t ; / v a l u e & g t ; & l t ; / i t e m & g t ; & l t ; i t e m & g t ; & l t ; k e y & g t ; & l t ; s t r i n g & g t ; C o l u m n 3 4 6 & l t ; / s t r i n g & g t ; & l t ; / k e y & g t ; & l t ; v a l u e & g t ; & l t ; i n t & g t ; 3 4 5 & l t ; / i n t & g t ; & l t ; / v a l u e & g t ; & l t ; / i t e m & g t ; & l t ; i t e m & g t ; & l t ; k e y & g t ; & l t ; s t r i n g & g t ; C o l u m n 3 4 7 & l t ; / s t r i n g & g t ; & l t ; / k e y & g t ; & l t ; v a l u e & g t ; & l t ; i n t & g t ; 3 4 6 & l t ; / i n t & g t ; & l t ; / v a l u e & g t ; & l t ; / i t e m & g t ; & l t ; i t e m & g t ; & l t ; k e y & g t ; & l t ; s t r i n g & g t ; C o l u m n 3 4 8 & l t ; / s t r i n g & g t ; & l t ; / k e y & g t ; & l t ; v a l u e & g t ; & l t ; i n t & g t ; 3 4 7 & l t ; / i n t & g t ; & l t ; / v a l u e & g t ; & l t ; / i t e m & g t ; & l t ; i t e m & g t ; & l t ; k e y & g t ; & l t ; s t r i n g & g t ; C o l u m n 3 4 9 & l t ; / s t r i n g & g t ; & l t ; / k e y & g t ; & l t ; v a l u e & g t ; & l t ; i n t & g t ; 3 4 8 & l t ; / i n t & g t ; & l t ; / v a l u e & g t ; & l t ; / i t e m & g t ; & l t ; i t e m & g t ; & l t ; k e y & g t ; & l t ; s t r i n g & g t ; C o l u m n 3 5 0 & l t ; / s t r i n g & g t ; & l t ; / k e y & g t ; & l t ; v a l u e & g t ; & l t ; i n t & g t ; 3 4 9 & l t ; / i n t & g t ; & l t ; / v a l u e & g t ; & l t ; / i t e m & g t ; & l t ; / C o l u m n D i s p l a y I n d e x & g t ; & l t ; C o l u m n F r o z e n   / & g t ; & l t ; C o l u m n C h e c k e d   / & g t ; & l t ; C o l u m n F i l t e r   / & g t ; & l t ; S e l e c t i o n F i l t e r   / & g t ; & l t ; F i l t e r P a r a m e t e r s   / & g t ; & l t ; I s S o r t D e s c e n d i n g & g t ; f a l s e & l t ; / I s S o r t D e s c e n d i n g & g t ; & l t ; / T a b l e W i d g e t G r i d S e r i a l i z a t i o n & g t ; < / C u s t o m C o n t e n t > < / G e m i n i > 
</file>

<file path=customXml/item13.xml>��< ? x m l   v e r s i o n = " 1 . 0 "   e n c o d i n g = " U T F - 1 6 " ? > < G e m i n i   x m l n s = " h t t p : / / g e m i n i / p i v o t c u s t o m i z a t i o n / R e l a t i o n s h i p A u t o D e t e c t i o n E n a b l e d " > < C u s t o m C o n t e n t > < ! [ C D A T A [ T r u e ] ] > < / C u s t o m C o n t e n t > < / G e m i n i > 
</file>

<file path=customXml/item14.xml><?xml version="1.0" encoding="utf-8"?>
<p:properties xmlns:p="http://schemas.microsoft.com/office/2006/metadata/properties" xmlns:xsi="http://www.w3.org/2001/XMLSchema-instance" xmlns:pc="http://schemas.microsoft.com/office/infopath/2007/PartnerControls">
  <documentManagement/>
</p:properties>
</file>

<file path=customXml/item15.xml>��< ? x m l   v e r s i o n = " 1 . 0 "   e n c o d i n g = " U T F - 1 6 " ? > < G e m i n i   x m l n s = " h t t p : / / g e m i n i / p i v o t c u s t o m i z a t i o n / T a b l e C o u n t I n S a n d b o x " > < C u s t o m C o n t e n t > < ! [ C D A T A [ 1 ] ] > < / C u s t o m C o n t e n t > < / G e m i n i > 
</file>

<file path=customXml/item16.xml>��< ? x m l   v e r s i o n = " 1 . 0 "   e n c o d i n g = " U T F - 1 6 " ? > < G e m i n i   x m l n s = " h t t p : / / g e m i n i / p i v o t c u s t o m i z a t i o n / L i n k e d T a b l e s " > < C u s t o m C o n t e n t > < ! [ C D A T A [ < L i n k e d T a b l e s   x m l n s : x s i = " h t t p : / / w w w . w 3 . o r g / 2 0 0 1 / X M L S c h e m a - i n s t a n c e "   x m l n s : x s d = " h t t p : / / w w w . w 3 . o r g / 2 0 0 1 / X M L S c h e m a " > < L i n k e d T a b l e L i s t > < L i n k e d T a b l e I n f o > < E x c e l T a b l e N a m e > T a b l e 1 < / E x c e l T a b l e N a m e > < G e m i n i T a b l e I d > T a b l e 1 - 0 4 a 0 4 c 1 a - c 4 7 6 - 4 d c f - 8 3 2 3 - 6 0 e 7 d d 4 2 5 1 7 4 < / G e m i n i T a b l e I d > < L i n k e d C o l u m n L i s t   / > < U p d a t e N e e d e d > f a l s e < / U p d a t e N e e d e d > < R o w C o u n t > 0 < / R o w C o u n t > < / L i n k e d T a b l e I n f o > < / L i n k e d T a b l e L i s t > < / L i n k e d T a b l e s > ] ] > < / C u s t o m C o n t e n t > < / G e m i n i > 
</file>

<file path=customXml/item17.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0 4 a 0 4 c 1 a - c 4 7 6 - 4 d c f - 8 3 2 3 - 6 0 e 7 d d 4 2 5 1 7 4 & l t ; / K e y & g t ; & l t ; V a l u e   x m l n s : a = " h t t p : / / s c h e m a s . d a t a c o n t r a c t . o r g / 2 0 0 4 / 0 7 / M i c r o s o f t . A n a l y s i s S e r v i c e s . C o m m o n " & g t ; & l t ; a : H a s F o c u s & g t ; f a l s e & l t ; / a : H a s F o c u s & g t ; & l t ; a : S i z e A t D p i 9 6 & g t ; 1 0 4 & l t ; / a : S i z e A t D p i 9 6 & g t ; & l t ; a : V i s i b l e & g t ; t r u e & l t ; / a : V i s i b l e & g t ; & l t ; / V a l u e & g t ; & l t ; / K e y V a l u e O f s t r i n g S a n d b o x E d i t o r . M e a s u r e G r i d S t a t e S c d E 3 5 R y & g t ; & l t ; / A r r a y O f K e y V a l u e O f s t r i n g S a n d b o x E d i t o r . M e a s u r e G r i d S t a t e S c d E 3 5 R y & g t ; < / C u s t o m C o n t e n t > < / G e m i n i > 
</file>

<file path=customXml/item18.xml>��< ? x m l   v e r s i o n = " 1 . 0 "   e n c o d i n g = " U T F - 1 6 " ? > < G e m i n i   x m l n s = " h t t p : / / g e m i n i / p i v o t c u s t o m i z a t i o n / M a n u a l C a l c M o d e " > < C u s t o m C o n t e n t > < ! [ C D A T A [ F a l s e ] ] > < / C u s t o m C o n t e n t > < / G e m i n i > 
</file>

<file path=customXml/item19.xml>��< ? x m l   v e r s i o n = " 1 . 0 "   e n c o d i n g = " U T F - 1 6 " ? > < G e m i n i   x m l n s = " h t t p : / / g e m i n i / p i v o t c u s t o m i z a t i o n / C l i e n t W i n d o w X M L " > < C u s t o m C o n t e n t > < ! [ C D A T A [ T a b l e 1 - 0 4 a 0 4 c 1 a - c 4 7 6 - 4 d c f - 8 3 2 3 - 6 0 e 7 d d 4 2 5 1 7 4 ] ] > < / C u s t o m C o n t e n t > < / G e m i n i > 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 2 0 1 7 - 1 2 - 0 4 T 1 6 : 1 5 : 0 2 . 6 1 5 4 4 1 6 + 0 0 : 0 0 < / L a s t P r o c e s s e d T i m e > < / D a t a M o d e l i n g S a n d b o x . S e r i a l i z e d S a n d b o x E r r o r C a c h e > ] ] > < / C u s t o m C o n t e n t > < / G e m i n i > 
</file>

<file path=customXml/item3.xml>��< ? x m l   v e r s i o n = " 1 . 0 "   e n c o d i n g = " U T F - 1 6 " ? > < G e m i n i   x m l n s = " h t t p : / / g e m i n i / p i v o t c u s t o m i z a t i o n / S h o w I m p l i c i t M e a s u r e s " > < C u s t o m C o n t e n t > < ! [ C D A T A [ F a l s e ] ] > < / C u s t o m C o n t e n t > < / G e m i n i > 
</file>

<file path=customXml/item4.xml>��< ? x m l   v e r s i o n = " 1 . 0 "   e n c o d i n g = " U T F - 1 6 " ? > < G e m i n i   x m l n s = " h t t p : / / g e m i n i / p i v o t c u s t o m i z a t i o n / S h o w H i d d e n " > < C u s t o m C o n t e n t > < ! [ C D A T A [ T r u e ] ] > < / C u s t o m C o n t e n t > < / G e m i n i > 
</file>

<file path=customXml/item5.xml>��< ? x m l   v e r s i o n = " 1 . 0 "   e n c o d i n g = " U T F - 1 6 " ? > < G e m i n i   x m l n s = " h t t p : / / g e m i n i / p i v o t c u s t o m i z a t i o n / T a b l e O r d e r " > < C u s t o m C o n t e n t > < ! [ C D A T A [ T a b l e 1 - 0 4 a 0 4 c 1 a - c 4 7 6 - 4 d c f - 8 3 2 3 - 6 0 e 7 d d 4 2 5 1 7 4 ] ] > < / C u s t o m C o n t e n t > < / G e m i n i > 
</file>

<file path=customXml/item6.xml>��< ? x m l   v e r s i o n = " 1 . 0 "   e n c o d i n g = " U T F - 1 6 " ? > < G e m i n i   x m l n s = " h t t p : / / g e m i n i / p i v o t c u s t o m i z a t i o n / S a n d b o x N o n E m p t y " > < C u s t o m C o n t e n t > < ! [ C D A T A [ 1 ] ] > < / C u s t o m C o n t e n t > < / G e m i n i > 
</file>

<file path=customXml/item7.xml><?xml version="1.0" encoding="utf-8"?>
<?mso-contentType ?>
<FormTemplates xmlns="http://schemas.microsoft.com/sharepoint/v3/contenttype/forms">
  <Display>DocumentLibraryForm</Display>
  <Edit>DocumentLibraryForm</Edit>
  <New>DocumentLibraryForm</New>
</FormTemplates>
</file>

<file path=customXml/item8.xml>��< ? x m l   v e r s i o n = " 1 . 0 "   e n c o d i n g = " U T F - 1 6 " ? > < G e m i n i   x m l n s = " h t t p : / / g e m i n i / p i v o t c u s t o m i z a t i o n / I s S a n d b o x E m b e d d e d " > < C u s t o m C o n t e n t > < ! [ C D A T A [ y e s ] ] > < / C u s t o m C o n t e n t > < / G e m i n i > 
</file>

<file path=customXml/item9.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o l u m n 1 & l t ; / K e y & g t ; & l t ; / D i a g r a m O b j e c t K e y & g t ; & l t ; D i a g r a m O b j e c t K e y & g t ; & l t ; K e y & g t ; C o l u m n s \ C o l u m n 2 & l t ; / K e y & g t ; & l t ; / D i a g r a m O b j e c t K e y & g t ; & l t ; D i a g r a m O b j e c t K e y & g t ; & l t ; K e y & g t ; C o l u m n s \ C o l u m n 3 & l t ; / K e y & g t ; & l t ; / D i a g r a m O b j e c t K e y & g t ; & l t ; D i a g r a m O b j e c t K e y & g t ; & l t ; K e y & g t ; C o l u m n s \ C o l u m n 4 & l t ; / K e y & g t ; & l t ; / D i a g r a m O b j e c t K e y & g t ; & l t ; D i a g r a m O b j e c t K e y & g t ; & l t ; K e y & g t ; C o l u m n s \ C o l u m n 5 & l t ; / K e y & g t ; & l t ; / D i a g r a m O b j e c t K e y & g t ; & l t ; D i a g r a m O b j e c t K e y & g t ; & l t ; K e y & g t ; C o l u m n s \ C o l u m n 6 & l t ; / K e y & g t ; & l t ; / D i a g r a m O b j e c t K e y & g t ; & l t ; D i a g r a m O b j e c t K e y & g t ; & l t ; K e y & g t ; C o l u m n s \ C o l u m n 7 & l t ; / K e y & g t ; & l t ; / D i a g r a m O b j e c t K e y & g t ; & l t ; D i a g r a m O b j e c t K e y & g t ; & l t ; K e y & g t ; C o l u m n s \ C o l u m n 8 & l t ; / K e y & g t ; & l t ; / D i a g r a m O b j e c t K e y & g t ; & l t ; D i a g r a m O b j e c t K e y & g t ; & l t ; K e y & g t ; C o l u m n s \ C o l u m n 9 & l t ; / K e y & g t ; & l t ; / D i a g r a m O b j e c t K e y & g t ; & l t ; D i a g r a m O b j e c t K e y & g t ; & l t ; K e y & g t ; C o l u m n s \ C o l u m n 1 0 & l t ; / K e y & g t ; & l t ; / D i a g r a m O b j e c t K e y & g t ; & l t ; D i a g r a m O b j e c t K e y & g t ; & l t ; K e y & g t ; C o l u m n s \ C o l u m n 1 1 & l t ; / K e y & g t ; & l t ; / D i a g r a m O b j e c t K e y & g t ; & l t ; D i a g r a m O b j e c t K e y & g t ; & l t ; K e y & g t ; C o l u m n s \ C o l u m n 1 2 & l t ; / K e y & g t ; & l t ; / D i a g r a m O b j e c t K e y & g t ; & l t ; D i a g r a m O b j e c t K e y & g t ; & l t ; K e y & g t ; C o l u m n s \ C o l u m n 1 3 & l t ; / K e y & g t ; & l t ; / D i a g r a m O b j e c t K e y & g t ; & l t ; D i a g r a m O b j e c t K e y & g t ; & l t ; K e y & g t ; C o l u m n s \ C o l u m n 1 4 & l t ; / K e y & g t ; & l t ; / D i a g r a m O b j e c t K e y & g t ; & l t ; D i a g r a m O b j e c t K e y & g t ; & l t ; K e y & g t ; C o l u m n s \ C o l u m n 1 5 & l t ; / K e y & g t ; & l t ; / D i a g r a m O b j e c t K e y & g t ; & l t ; D i a g r a m O b j e c t K e y & g t ; & l t ; K e y & g t ; C o l u m n s \ C o l u m n 1 6 & l t ; / K e y & g t ; & l t ; / D i a g r a m O b j e c t K e y & g t ; & l t ; D i a g r a m O b j e c t K e y & g t ; & l t ; K e y & g t ; C o l u m n s \ C o l u m n 1 7 & l t ; / K e y & g t ; & l t ; / D i a g r a m O b j e c t K e y & g t ; & l t ; D i a g r a m O b j e c t K e y & g t ; & l t ; K e y & g t ; C o l u m n s \ C o l u m n 1 8 & l t ; / K e y & g t ; & l t ; / D i a g r a m O b j e c t K e y & g t ; & l t ; D i a g r a m O b j e c t K e y & g t ; & l t ; K e y & g t ; C o l u m n s \ C o l u m n 1 9 & l t ; / K e y & g t ; & l t ; / D i a g r a m O b j e c t K e y & g t ; & l t ; D i a g r a m O b j e c t K e y & g t ; & l t ; K e y & g t ; C o l u m n s \ C o l u m n 2 0 & l t ; / K e y & g t ; & l t ; / D i a g r a m O b j e c t K e y & g t ; & l t ; D i a g r a m O b j e c t K e y & g t ; & l t ; K e y & g t ; C o l u m n s \ C o l u m n 2 1 & l t ; / K e y & g t ; & l t ; / D i a g r a m O b j e c t K e y & g t ; & l t ; D i a g r a m O b j e c t K e y & g t ; & l t ; K e y & g t ; C o l u m n s \ C o l u m n 2 2 & l t ; / K e y & g t ; & l t ; / D i a g r a m O b j e c t K e y & g t ; & l t ; D i a g r a m O b j e c t K e y & g t ; & l t ; K e y & g t ; C o l u m n s \ C o l u m n 2 3 & l t ; / K e y & g t ; & l t ; / D i a g r a m O b j e c t K e y & g t ; & l t ; D i a g r a m O b j e c t K e y & g t ; & l t ; K e y & g t ; C o l u m n s \ C o l u m n 2 4 & l t ; / K e y & g t ; & l t ; / D i a g r a m O b j e c t K e y & g t ; & l t ; D i a g r a m O b j e c t K e y & g t ; & l t ; K e y & g t ; C o l u m n s \ C o l u m n 2 5 & l t ; / K e y & g t ; & l t ; / D i a g r a m O b j e c t K e y & g t ; & l t ; D i a g r a m O b j e c t K e y & g t ; & l t ; K e y & g t ; C o l u m n s \ C o l u m n 2 6 & l t ; / K e y & g t ; & l t ; / D i a g r a m O b j e c t K e y & g t ; & l t ; D i a g r a m O b j e c t K e y & g t ; & l t ; K e y & g t ; C o l u m n s \ C o l u m n 2 7 & l t ; / K e y & g t ; & l t ; / D i a g r a m O b j e c t K e y & g t ; & l t ; D i a g r a m O b j e c t K e y & g t ; & l t ; K e y & g t ; C o l u m n s \ C o l u m n 2 8 & l t ; / K e y & g t ; & l t ; / D i a g r a m O b j e c t K e y & g t ; & l t ; D i a g r a m O b j e c t K e y & g t ; & l t ; K e y & g t ; C o l u m n s \ C o l u m n 2 9 & l t ; / K e y & g t ; & l t ; / D i a g r a m O b j e c t K e y & g t ; & l t ; D i a g r a m O b j e c t K e y & g t ; & l t ; K e y & g t ; C o l u m n s \ C o l u m n 3 0 & l t ; / K e y & g t ; & l t ; / D i a g r a m O b j e c t K e y & g t ; & l t ; D i a g r a m O b j e c t K e y & g t ; & l t ; K e y & g t ; C o l u m n s \ C o l u m n 3 1 & l t ; / K e y & g t ; & l t ; / D i a g r a m O b j e c t K e y & g t ; & l t ; D i a g r a m O b j e c t K e y & g t ; & l t ; K e y & g t ; C o l u m n s \ C o l u m n 3 2 & l t ; / K e y & g t ; & l t ; / D i a g r a m O b j e c t K e y & g t ; & l t ; D i a g r a m O b j e c t K e y & g t ; & l t ; K e y & g t ; C o l u m n s \ C o l u m n 3 3 & l t ; / K e y & g t ; & l t ; / D i a g r a m O b j e c t K e y & g t ; & l t ; D i a g r a m O b j e c t K e y & g t ; & l t ; K e y & g t ; C o l u m n s \ C o l u m n 3 4 & l t ; / K e y & g t ; & l t ; / D i a g r a m O b j e c t K e y & g t ; & l t ; D i a g r a m O b j e c t K e y & g t ; & l t ; K e y & g t ; C o l u m n s \ C o l u m n 3 5 & l t ; / K e y & g t ; & l t ; / D i a g r a m O b j e c t K e y & g t ; & l t ; D i a g r a m O b j e c t K e y & g t ; & l t ; K e y & g t ; C o l u m n s \ C o l u m n 3 6 & l t ; / K e y & g t ; & l t ; / D i a g r a m O b j e c t K e y & g t ; & l t ; D i a g r a m O b j e c t K e y & g t ; & l t ; K e y & g t ; C o l u m n s \ C o l u m n 3 7 & l t ; / K e y & g t ; & l t ; / D i a g r a m O b j e c t K e y & g t ; & l t ; D i a g r a m O b j e c t K e y & g t ; & l t ; K e y & g t ; C o l u m n s \ C o l u m n 3 8 & l t ; / K e y & g t ; & l t ; / D i a g r a m O b j e c t K e y & g t ; & l t ; D i a g r a m O b j e c t K e y & g t ; & l t ; K e y & g t ; C o l u m n s \ C o l u m n 3 9 & l t ; / K e y & g t ; & l t ; / D i a g r a m O b j e c t K e y & g t ; & l t ; D i a g r a m O b j e c t K e y & g t ; & l t ; K e y & g t ; C o l u m n s \ C o l u m n 4 0 & l t ; / K e y & g t ; & l t ; / D i a g r a m O b j e c t K e y & g t ; & l t ; D i a g r a m O b j e c t K e y & g t ; & l t ; K e y & g t ; C o l u m n s \ C o l u m n 4 1 & l t ; / K e y & g t ; & l t ; / D i a g r a m O b j e c t K e y & g t ; & l t ; D i a g r a m O b j e c t K e y & g t ; & l t ; K e y & g t ; C o l u m n s \ C o l u m n 4 2 & l t ; / K e y & g t ; & l t ; / D i a g r a m O b j e c t K e y & g t ; & l t ; D i a g r a m O b j e c t K e y & g t ; & l t ; K e y & g t ; C o l u m n s \ C o l u m n 4 3 & l t ; / K e y & g t ; & l t ; / D i a g r a m O b j e c t K e y & g t ; & l t ; D i a g r a m O b j e c t K e y & g t ; & l t ; K e y & g t ; C o l u m n s \ C o l u m n 4 4 & l t ; / K e y & g t ; & l t ; / D i a g r a m O b j e c t K e y & g t ; & l t ; D i a g r a m O b j e c t K e y & g t ; & l t ; K e y & g t ; C o l u m n s \ C o l u m n 4 5 & l t ; / K e y & g t ; & l t ; / D i a g r a m O b j e c t K e y & g t ; & l t ; D i a g r a m O b j e c t K e y & g t ; & l t ; K e y & g t ; C o l u m n s \ C o l u m n 4 6 & l t ; / K e y & g t ; & l t ; / D i a g r a m O b j e c t K e y & g t ; & l t ; D i a g r a m O b j e c t K e y & g t ; & l t ; K e y & g t ; C o l u m n s \ C o l u m n 4 7 & l t ; / K e y & g t ; & l t ; / D i a g r a m O b j e c t K e y & g t ; & l t ; D i a g r a m O b j e c t K e y & g t ; & l t ; K e y & g t ; C o l u m n s \ C o l u m n 4 8 & l t ; / K e y & g t ; & l t ; / D i a g r a m O b j e c t K e y & g t ; & l t ; D i a g r a m O b j e c t K e y & g t ; & l t ; K e y & g t ; C o l u m n s \ C o l u m n 4 9 & l t ; / K e y & g t ; & l t ; / D i a g r a m O b j e c t K e y & g t ; & l t ; D i a g r a m O b j e c t K e y & g t ; & l t ; K e y & g t ; C o l u m n s \ C o l u m n 5 0 & l t ; / K e y & g t ; & l t ; / D i a g r a m O b j e c t K e y & g t ; & l t ; D i a g r a m O b j e c t K e y & g t ; & l t ; K e y & g t ; C o l u m n s \ C o l u m n 5 1 & l t ; / K e y & g t ; & l t ; / D i a g r a m O b j e c t K e y & g t ; & l t ; D i a g r a m O b j e c t K e y & g t ; & l t ; K e y & g t ; C o l u m n s \ C o l u m n 5 2 & l t ; / K e y & g t ; & l t ; / D i a g r a m O b j e c t K e y & g t ; & l t ; D i a g r a m O b j e c t K e y & g t ; & l t ; K e y & g t ; C o l u m n s \ C o l u m n 5 3 & l t ; / K e y & g t ; & l t ; / D i a g r a m O b j e c t K e y & g t ; & l t ; D i a g r a m O b j e c t K e y & g t ; & l t ; K e y & g t ; C o l u m n s \ C o l u m n 5 4 & l t ; / K e y & g t ; & l t ; / D i a g r a m O b j e c t K e y & g t ; & l t ; D i a g r a m O b j e c t K e y & g t ; & l t ; K e y & g t ; C o l u m n s \ C o l u m n 5 5 & l t ; / K e y & g t ; & l t ; / D i a g r a m O b j e c t K e y & g t ; & l t ; D i a g r a m O b j e c t K e y & g t ; & l t ; K e y & g t ; C o l u m n s \ C o l u m n 5 6 & l t ; / K e y & g t ; & l t ; / D i a g r a m O b j e c t K e y & g t ; & l t ; D i a g r a m O b j e c t K e y & g t ; & l t ; K e y & g t ; C o l u m n s \ C o l u m n 5 7 & l t ; / K e y & g t ; & l t ; / D i a g r a m O b j e c t K e y & g t ; & l t ; D i a g r a m O b j e c t K e y & g t ; & l t ; K e y & g t ; C o l u m n s \ C o l u m n 5 8 & l t ; / K e y & g t ; & l t ; / D i a g r a m O b j e c t K e y & g t ; & l t ; D i a g r a m O b j e c t K e y & g t ; & l t ; K e y & g t ; C o l u m n s \ C o l u m n 5 9 & l t ; / K e y & g t ; & l t ; / D i a g r a m O b j e c t K e y & g t ; & l t ; D i a g r a m O b j e c t K e y & g t ; & l t ; K e y & g t ; C o l u m n s \ C o l u m n 6 0 & l t ; / K e y & g t ; & l t ; / D i a g r a m O b j e c t K e y & g t ; & l t ; D i a g r a m O b j e c t K e y & g t ; & l t ; K e y & g t ; C o l u m n s \ C o l u m n 6 1 & l t ; / K e y & g t ; & l t ; / D i a g r a m O b j e c t K e y & g t ; & l t ; D i a g r a m O b j e c t K e y & g t ; & l t ; K e y & g t ; C o l u m n s \ C o l u m n 6 2 & l t ; / K e y & g t ; & l t ; / D i a g r a m O b j e c t K e y & g t ; & l t ; D i a g r a m O b j e c t K e y & g t ; & l t ; K e y & g t ; C o l u m n s \ C o l u m n 6 3 & l t ; / K e y & g t ; & l t ; / D i a g r a m O b j e c t K e y & g t ; & l t ; D i a g r a m O b j e c t K e y & g t ; & l t ; K e y & g t ; C o l u m n s \ C o l u m n 6 4 & l t ; / K e y & g t ; & l t ; / D i a g r a m O b j e c t K e y & g t ; & l t ; D i a g r a m O b j e c t K e y & g t ; & l t ; K e y & g t ; C o l u m n s \ C o l u m n 6 5 & l t ; / K e y & g t ; & l t ; / D i a g r a m O b j e c t K e y & g t ; & l t ; D i a g r a m O b j e c t K e y & g t ; & l t ; K e y & g t ; C o l u m n s \ C o l u m n 6 6 & l t ; / K e y & g t ; & l t ; / D i a g r a m O b j e c t K e y & g t ; & l t ; D i a g r a m O b j e c t K e y & g t ; & l t ; K e y & g t ; C o l u m n s \ C o l u m n 6 7 & l t ; / K e y & g t ; & l t ; / D i a g r a m O b j e c t K e y & g t ; & l t ; D i a g r a m O b j e c t K e y & g t ; & l t ; K e y & g t ; C o l u m n s \ C o l u m n 6 8 & l t ; / K e y & g t ; & l t ; / D i a g r a m O b j e c t K e y & g t ; & l t ; D i a g r a m O b j e c t K e y & g t ; & l t ; K e y & g t ; C o l u m n s \ C o l u m n 6 9 & l t ; / K e y & g t ; & l t ; / D i a g r a m O b j e c t K e y & g t ; & l t ; D i a g r a m O b j e c t K e y & g t ; & l t ; K e y & g t ; C o l u m n s \ C o l u m n 7 0 & l t ; / K e y & g t ; & l t ; / D i a g r a m O b j e c t K e y & g t ; & l t ; D i a g r a m O b j e c t K e y & g t ; & l t ; K e y & g t ; C o l u m n s \ C o l u m n 7 1 & l t ; / K e y & g t ; & l t ; / D i a g r a m O b j e c t K e y & g t ; & l t ; D i a g r a m O b j e c t K e y & g t ; & l t ; K e y & g t ; C o l u m n s \ C o l u m n 7 2 & l t ; / K e y & g t ; & l t ; / D i a g r a m O b j e c t K e y & g t ; & l t ; D i a g r a m O b j e c t K e y & g t ; & l t ; K e y & g t ; C o l u m n s \ C o l u m n 7 3 & l t ; / K e y & g t ; & l t ; / D i a g r a m O b j e c t K e y & g t ; & l t ; D i a g r a m O b j e c t K e y & g t ; & l t ; K e y & g t ; C o l u m n s \ C o l u m n 7 4 & l t ; / K e y & g t ; & l t ; / D i a g r a m O b j e c t K e y & g t ; & l t ; D i a g r a m O b j e c t K e y & g t ; & l t ; K e y & g t ; C o l u m n s \ C o l u m n 7 5 & l t ; / K e y & g t ; & l t ; / D i a g r a m O b j e c t K e y & g t ; & l t ; D i a g r a m O b j e c t K e y & g t ; & l t ; K e y & g t ; C o l u m n s \ C o l u m n 7 6 & l t ; / K e y & g t ; & l t ; / D i a g r a m O b j e c t K e y & g t ; & l t ; D i a g r a m O b j e c t K e y & g t ; & l t ; K e y & g t ; C o l u m n s \ C o l u m n 7 7 & l t ; / K e y & g t ; & l t ; / D i a g r a m O b j e c t K e y & g t ; & l t ; D i a g r a m O b j e c t K e y & g t ; & l t ; K e y & g t ; C o l u m n s \ C o l u m n 7 8 & l t ; / K e y & g t ; & l t ; / D i a g r a m O b j e c t K e y & g t ; & l t ; D i a g r a m O b j e c t K e y & g t ; & l t ; K e y & g t ; C o l u m n s \ C o l u m n 7 9 & l t ; / K e y & g t ; & l t ; / D i a g r a m O b j e c t K e y & g t ; & l t ; D i a g r a m O b j e c t K e y & g t ; & l t ; K e y & g t ; C o l u m n s \ C o l u m n 8 0 & l t ; / K e y & g t ; & l t ; / D i a g r a m O b j e c t K e y & g t ; & l t ; D i a g r a m O b j e c t K e y & g t ; & l t ; K e y & g t ; C o l u m n s \ C o l u m n 8 1 & l t ; / K e y & g t ; & l t ; / D i a g r a m O b j e c t K e y & g t ; & l t ; D i a g r a m O b j e c t K e y & g t ; & l t ; K e y & g t ; C o l u m n s \ C o l u m n 8 2 & l t ; / K e y & g t ; & l t ; / D i a g r a m O b j e c t K e y & g t ; & l t ; D i a g r a m O b j e c t K e y & g t ; & l t ; K e y & g t ; C o l u m n s \ C o l u m n 8 3 & l t ; / K e y & g t ; & l t ; / D i a g r a m O b j e c t K e y & g t ; & l t ; D i a g r a m O b j e c t K e y & g t ; & l t ; K e y & g t ; C o l u m n s \ C o l u m n 8 4 & l t ; / K e y & g t ; & l t ; / D i a g r a m O b j e c t K e y & g t ; & l t ; D i a g r a m O b j e c t K e y & g t ; & l t ; K e y & g t ; C o l u m n s \ C o l u m n 8 5 & l t ; / K e y & g t ; & l t ; / D i a g r a m O b j e c t K e y & g t ; & l t ; D i a g r a m O b j e c t K e y & g t ; & l t ; K e y & g t ; C o l u m n s \ C o l u m n 8 6 & l t ; / K e y & g t ; & l t ; / D i a g r a m O b j e c t K e y & g t ; & l t ; D i a g r a m O b j e c t K e y & g t ; & l t ; K e y & g t ; C o l u m n s \ C o l u m n 8 7 & l t ; / K e y & g t ; & l t ; / D i a g r a m O b j e c t K e y & g t ; & l t ; D i a g r a m O b j e c t K e y & g t ; & l t ; K e y & g t ; C o l u m n s \ C o l u m n 8 8 & l t ; / K e y & g t ; & l t ; / D i a g r a m O b j e c t K e y & g t ; & l t ; D i a g r a m O b j e c t K e y & g t ; & l t ; K e y & g t ; C o l u m n s \ C o l u m n 8 9 & l t ; / K e y & g t ; & l t ; / D i a g r a m O b j e c t K e y & g t ; & l t ; D i a g r a m O b j e c t K e y & g t ; & l t ; K e y & g t ; C o l u m n s \ C o l u m n 9 0 & l t ; / K e y & g t ; & l t ; / D i a g r a m O b j e c t K e y & g t ; & l t ; D i a g r a m O b j e c t K e y & g t ; & l t ; K e y & g t ; C o l u m n s \ C o l u m n 9 1 & l t ; / K e y & g t ; & l t ; / D i a g r a m O b j e c t K e y & g t ; & l t ; D i a g r a m O b j e c t K e y & g t ; & l t ; K e y & g t ; C o l u m n s \ C o l u m n 9 2 & l t ; / K e y & g t ; & l t ; / D i a g r a m O b j e c t K e y & g t ; & l t ; D i a g r a m O b j e c t K e y & g t ; & l t ; K e y & g t ; C o l u m n s \ C o l u m n 9 3 & l t ; / K e y & g t ; & l t ; / D i a g r a m O b j e c t K e y & g t ; & l t ; D i a g r a m O b j e c t K e y & g t ; & l t ; K e y & g t ; C o l u m n s \ C o l u m n 9 4 & l t ; / K e y & g t ; & l t ; / D i a g r a m O b j e c t K e y & g t ; & l t ; D i a g r a m O b j e c t K e y & g t ; & l t ; K e y & g t ; C o l u m n s \ C o l u m n 9 5 & l t ; / K e y & g t ; & l t ; / D i a g r a m O b j e c t K e y & g t ; & l t ; D i a g r a m O b j e c t K e y & g t ; & l t ; K e y & g t ; C o l u m n s \ C o l u m n 9 6 & l t ; / K e y & g t ; & l t ; / D i a g r a m O b j e c t K e y & g t ; & l t ; D i a g r a m O b j e c t K e y & g t ; & l t ; K e y & g t ; C o l u m n s \ C o l u m n 9 7 & l t ; / K e y & g t ; & l t ; / D i a g r a m O b j e c t K e y & g t ; & l t ; D i a g r a m O b j e c t K e y & g t ; & l t ; K e y & g t ; C o l u m n s \ C o l u m n 9 8 & l t ; / K e y & g t ; & l t ; / D i a g r a m O b j e c t K e y & g t ; & l t ; D i a g r a m O b j e c t K e y & g t ; & l t ; K e y & g t ; C o l u m n s \ C o l u m n 9 9 & l t ; / K e y & g t ; & l t ; / D i a g r a m O b j e c t K e y & g t ; & l t ; D i a g r a m O b j e c t K e y & g t ; & l t ; K e y & g t ; C o l u m n s \ C o l u m n 1 0 0 & l t ; / K e y & g t ; & l t ; / D i a g r a m O b j e c t K e y & g t ; & l t ; D i a g r a m O b j e c t K e y & g t ; & l t ; K e y & g t ; C o l u m n s \ C o l u m n 1 0 1 & l t ; / K e y & g t ; & l t ; / D i a g r a m O b j e c t K e y & g t ; & l t ; D i a g r a m O b j e c t K e y & g t ; & l t ; K e y & g t ; C o l u m n s \ C o l u m n 1 0 2 & l t ; / K e y & g t ; & l t ; / D i a g r a m O b j e c t K e y & g t ; & l t ; D i a g r a m O b j e c t K e y & g t ; & l t ; K e y & g t ; C o l u m n s \ C o l u m n 1 0 3 & l t ; / K e y & g t ; & l t ; / D i a g r a m O b j e c t K e y & g t ; & l t ; D i a g r a m O b j e c t K e y & g t ; & l t ; K e y & g t ; C o l u m n s \ C o l u m n 1 0 4 & l t ; / K e y & g t ; & l t ; / D i a g r a m O b j e c t K e y & g t ; & l t ; D i a g r a m O b j e c t K e y & g t ; & l t ; K e y & g t ; C o l u m n s \ C o l u m n 1 0 5 & l t ; / K e y & g t ; & l t ; / D i a g r a m O b j e c t K e y & g t ; & l t ; D i a g r a m O b j e c t K e y & g t ; & l t ; K e y & g t ; C o l u m n s \ C o l u m n 1 0 6 & l t ; / K e y & g t ; & l t ; / D i a g r a m O b j e c t K e y & g t ; & l t ; D i a g r a m O b j e c t K e y & g t ; & l t ; K e y & g t ; C o l u m n s \ C o l u m n 1 0 7 & l t ; / K e y & g t ; & l t ; / D i a g r a m O b j e c t K e y & g t ; & l t ; D i a g r a m O b j e c t K e y & g t ; & l t ; K e y & g t ; C o l u m n s \ C o l u m n 1 0 8 & l t ; / K e y & g t ; & l t ; / D i a g r a m O b j e c t K e y & g t ; & l t ; D i a g r a m O b j e c t K e y & g t ; & l t ; K e y & g t ; C o l u m n s \ C o l u m n 1 0 9 & l t ; / K e y & g t ; & l t ; / D i a g r a m O b j e c t K e y & g t ; & l t ; D i a g r a m O b j e c t K e y & g t ; & l t ; K e y & g t ; C o l u m n s \ C o l u m n 1 1 0 & l t ; / K e y & g t ; & l t ; / D i a g r a m O b j e c t K e y & g t ; & l t ; D i a g r a m O b j e c t K e y & g t ; & l t ; K e y & g t ; C o l u m n s \ C o l u m n 1 1 1 & l t ; / K e y & g t ; & l t ; / D i a g r a m O b j e c t K e y & g t ; & l t ; D i a g r a m O b j e c t K e y & g t ; & l t ; K e y & g t ; C o l u m n s \ C o l u m n 1 1 2 & l t ; / K e y & g t ; & l t ; / D i a g r a m O b j e c t K e y & g t ; & l t ; D i a g r a m O b j e c t K e y & g t ; & l t ; K e y & g t ; C o l u m n s \ C o l u m n 1 1 3 & l t ; / K e y & g t ; & l t ; / D i a g r a m O b j e c t K e y & g t ; & l t ; D i a g r a m O b j e c t K e y & g t ; & l t ; K e y & g t ; C o l u m n s \ C o l u m n 1 1 4 & l t ; / K e y & g t ; & l t ; / D i a g r a m O b j e c t K e y & g t ; & l t ; D i a g r a m O b j e c t K e y & g t ; & l t ; K e y & g t ; C o l u m n s \ C o l u m n 1 1 5 & l t ; / K e y & g t ; & l t ; / D i a g r a m O b j e c t K e y & g t ; & l t ; D i a g r a m O b j e c t K e y & g t ; & l t ; K e y & g t ; C o l u m n s \ C o l u m n 1 1 6 & l t ; / K e y & g t ; & l t ; / D i a g r a m O b j e c t K e y & g t ; & l t ; D i a g r a m O b j e c t K e y & g t ; & l t ; K e y & g t ; C o l u m n s \ C o l u m n 1 1 7 & l t ; / K e y & g t ; & l t ; / D i a g r a m O b j e c t K e y & g t ; & l t ; D i a g r a m O b j e c t K e y & g t ; & l t ; K e y & g t ; C o l u m n s \ C o l u m n 1 1 8 & l t ; / K e y & g t ; & l t ; / D i a g r a m O b j e c t K e y & g t ; & l t ; D i a g r a m O b j e c t K e y & g t ; & l t ; K e y & g t ; C o l u m n s \ C o l u m n 1 1 9 & l t ; / K e y & g t ; & l t ; / D i a g r a m O b j e c t K e y & g t ; & l t ; D i a g r a m O b j e c t K e y & g t ; & l t ; K e y & g t ; C o l u m n s \ C o l u m n 1 2 0 & l t ; / K e y & g t ; & l t ; / D i a g r a m O b j e c t K e y & g t ; & l t ; D i a g r a m O b j e c t K e y & g t ; & l t ; K e y & g t ; C o l u m n s \ C o l u m n 1 2 1 & l t ; / K e y & g t ; & l t ; / D i a g r a m O b j e c t K e y & g t ; & l t ; D i a g r a m O b j e c t K e y & g t ; & l t ; K e y & g t ; C o l u m n s \ C o l u m n 1 2 2 & l t ; / K e y & g t ; & l t ; / D i a g r a m O b j e c t K e y & g t ; & l t ; D i a g r a m O b j e c t K e y & g t ; & l t ; K e y & g t ; C o l u m n s \ C o l u m n 1 2 3 & l t ; / K e y & g t ; & l t ; / D i a g r a m O b j e c t K e y & g t ; & l t ; D i a g r a m O b j e c t K e y & g t ; & l t ; K e y & g t ; C o l u m n s \ C o l u m n 1 2 4 & l t ; / K e y & g t ; & l t ; / D i a g r a m O b j e c t K e y & g t ; & l t ; D i a g r a m O b j e c t K e y & g t ; & l t ; K e y & g t ; C o l u m n s \ C o l u m n 1 2 5 & l t ; / K e y & g t ; & l t ; / D i a g r a m O b j e c t K e y & g t ; & l t ; D i a g r a m O b j e c t K e y & g t ; & l t ; K e y & g t ; C o l u m n s \ C o l u m n 1 2 6 & l t ; / K e y & g t ; & l t ; / D i a g r a m O b j e c t K e y & g t ; & l t ; D i a g r a m O b j e c t K e y & g t ; & l t ; K e y & g t ; C o l u m n s \ C o l u m n 1 2 7 & l t ; / K e y & g t ; & l t ; / D i a g r a m O b j e c t K e y & g t ; & l t ; D i a g r a m O b j e c t K e y & g t ; & l t ; K e y & g t ; C o l u m n s \ C o l u m n 1 2 8 & l t ; / K e y & g t ; & l t ; / D i a g r a m O b j e c t K e y & g t ; & l t ; D i a g r a m O b j e c t K e y & g t ; & l t ; K e y & g t ; C o l u m n s \ C o l u m n 1 2 9 & l t ; / K e y & g t ; & l t ; / D i a g r a m O b j e c t K e y & g t ; & l t ; D i a g r a m O b j e c t K e y & g t ; & l t ; K e y & g t ; C o l u m n s \ C o l u m n 1 3 0 & l t ; / K e y & g t ; & l t ; / D i a g r a m O b j e c t K e y & g t ; & l t ; D i a g r a m O b j e c t K e y & g t ; & l t ; K e y & g t ; C o l u m n s \ C o l u m n 1 3 1 & l t ; / K e y & g t ; & l t ; / D i a g r a m O b j e c t K e y & g t ; & l t ; D i a g r a m O b j e c t K e y & g t ; & l t ; K e y & g t ; C o l u m n s \ C o l u m n 1 3 2 & l t ; / K e y & g t ; & l t ; / D i a g r a m O b j e c t K e y & g t ; & l t ; D i a g r a m O b j e c t K e y & g t ; & l t ; K e y & g t ; C o l u m n s \ C o l u m n 1 3 3 & l t ; / K e y & g t ; & l t ; / D i a g r a m O b j e c t K e y & g t ; & l t ; D i a g r a m O b j e c t K e y & g t ; & l t ; K e y & g t ; C o l u m n s \ C o l u m n 1 3 4 & l t ; / K e y & g t ; & l t ; / D i a g r a m O b j e c t K e y & g t ; & l t ; D i a g r a m O b j e c t K e y & g t ; & l t ; K e y & g t ; C o l u m n s \ C o l u m n 1 3 5 & l t ; / K e y & g t ; & l t ; / D i a g r a m O b j e c t K e y & g t ; & l t ; D i a g r a m O b j e c t K e y & g t ; & l t ; K e y & g t ; C o l u m n s \ C o l u m n 1 3 6 & l t ; / K e y & g t ; & l t ; / D i a g r a m O b j e c t K e y & g t ; & l t ; D i a g r a m O b j e c t K e y & g t ; & l t ; K e y & g t ; C o l u m n s \ C o l u m n 1 3 7 & l t ; / K e y & g t ; & l t ; / D i a g r a m O b j e c t K e y & g t ; & l t ; D i a g r a m O b j e c t K e y & g t ; & l t ; K e y & g t ; C o l u m n s \ C o l u m n 1 3 8 & l t ; / K e y & g t ; & l t ; / D i a g r a m O b j e c t K e y & g t ; & l t ; D i a g r a m O b j e c t K e y & g t ; & l t ; K e y & g t ; C o l u m n s \ C o l u m n 1 3 9 & l t ; / K e y & g t ; & l t ; / D i a g r a m O b j e c t K e y & g t ; & l t ; D i a g r a m O b j e c t K e y & g t ; & l t ; K e y & g t ; C o l u m n s \ C o l u m n 1 4 0 & l t ; / K e y & g t ; & l t ; / D i a g r a m O b j e c t K e y & g t ; & l t ; D i a g r a m O b j e c t K e y & g t ; & l t ; K e y & g t ; C o l u m n s \ C o l u m n 1 4 1 & l t ; / K e y & g t ; & l t ; / D i a g r a m O b j e c t K e y & g t ; & l t ; D i a g r a m O b j e c t K e y & g t ; & l t ; K e y & g t ; C o l u m n s \ C o l u m n 1 4 2 & l t ; / K e y & g t ; & l t ; / D i a g r a m O b j e c t K e y & g t ; & l t ; D i a g r a m O b j e c t K e y & g t ; & l t ; K e y & g t ; C o l u m n s \ C o l u m n 1 4 3 & l t ; / K e y & g t ; & l t ; / D i a g r a m O b j e c t K e y & g t ; & l t ; D i a g r a m O b j e c t K e y & g t ; & l t ; K e y & g t ; C o l u m n s \ C o l u m n 1 4 4 & l t ; / K e y & g t ; & l t ; / D i a g r a m O b j e c t K e y & g t ; & l t ; D i a g r a m O b j e c t K e y & g t ; & l t ; K e y & g t ; C o l u m n s \ C o l u m n 1 4 5 & l t ; / K e y & g t ; & l t ; / D i a g r a m O b j e c t K e y & g t ; & l t ; D i a g r a m O b j e c t K e y & g t ; & l t ; K e y & g t ; C o l u m n s \ C o l u m n 1 4 6 & l t ; / K e y & g t ; & l t ; / D i a g r a m O b j e c t K e y & g t ; & l t ; D i a g r a m O b j e c t K e y & g t ; & l t ; K e y & g t ; C o l u m n s \ C o l u m n 1 4 7 & l t ; / K e y & g t ; & l t ; / D i a g r a m O b j e c t K e y & g t ; & l t ; D i a g r a m O b j e c t K e y & g t ; & l t ; K e y & g t ; C o l u m n s \ C o l u m n 1 4 8 & l t ; / K e y & g t ; & l t ; / D i a g r a m O b j e c t K e y & g t ; & l t ; D i a g r a m O b j e c t K e y & g t ; & l t ; K e y & g t ; C o l u m n s \ C o l u m n 1 4 9 & l t ; / K e y & g t ; & l t ; / D i a g r a m O b j e c t K e y & g t ; & l t ; D i a g r a m O b j e c t K e y & g t ; & l t ; K e y & g t ; C o l u m n s \ C o l u m n 1 5 0 & l t ; / K e y & g t ; & l t ; / D i a g r a m O b j e c t K e y & g t ; & l t ; D i a g r a m O b j e c t K e y & g t ; & l t ; K e y & g t ; C o l u m n s \ C o l u m n 1 5 1 & l t ; / K e y & g t ; & l t ; / D i a g r a m O b j e c t K e y & g t ; & l t ; D i a g r a m O b j e c t K e y & g t ; & l t ; K e y & g t ; C o l u m n s \ C o l u m n 1 5 2 & l t ; / K e y & g t ; & l t ; / D i a g r a m O b j e c t K e y & g t ; & l t ; D i a g r a m O b j e c t K e y & g t ; & l t ; K e y & g t ; C o l u m n s \ C o l u m n 1 5 3 & l t ; / K e y & g t ; & l t ; / D i a g r a m O b j e c t K e y & g t ; & l t ; D i a g r a m O b j e c t K e y & g t ; & l t ; K e y & g t ; C o l u m n s \ C o l u m n 1 5 4 & l t ; / K e y & g t ; & l t ; / D i a g r a m O b j e c t K e y & g t ; & l t ; D i a g r a m O b j e c t K e y & g t ; & l t ; K e y & g t ; C o l u m n s \ C o l u m n 1 5 5 & l t ; / K e y & g t ; & l t ; / D i a g r a m O b j e c t K e y & g t ; & l t ; D i a g r a m O b j e c t K e y & g t ; & l t ; K e y & g t ; C o l u m n s \ C o l u m n 1 5 6 & l t ; / K e y & g t ; & l t ; / D i a g r a m O b j e c t K e y & g t ; & l t ; D i a g r a m O b j e c t K e y & g t ; & l t ; K e y & g t ; C o l u m n s \ C o l u m n 1 5 7 & l t ; / K e y & g t ; & l t ; / D i a g r a m O b j e c t K e y & g t ; & l t ; D i a g r a m O b j e c t K e y & g t ; & l t ; K e y & g t ; C o l u m n s \ C o l u m n 1 5 8 & l t ; / K e y & g t ; & l t ; / D i a g r a m O b j e c t K e y & g t ; & l t ; D i a g r a m O b j e c t K e y & g t ; & l t ; K e y & g t ; C o l u m n s \ C o l u m n 1 5 9 & l t ; / K e y & g t ; & l t ; / D i a g r a m O b j e c t K e y & g t ; & l t ; D i a g r a m O b j e c t K e y & g t ; & l t ; K e y & g t ; C o l u m n s \ C o l u m n 1 6 0 & l t ; / K e y & g t ; & l t ; / D i a g r a m O b j e c t K e y & g t ; & l t ; D i a g r a m O b j e c t K e y & g t ; & l t ; K e y & g t ; C o l u m n s \ C o l u m n 1 6 1 & l t ; / K e y & g t ; & l t ; / D i a g r a m O b j e c t K e y & g t ; & l t ; D i a g r a m O b j e c t K e y & g t ; & l t ; K e y & g t ; C o l u m n s \ C o l u m n 1 6 2 & l t ; / K e y & g t ; & l t ; / D i a g r a m O b j e c t K e y & g t ; & l t ; D i a g r a m O b j e c t K e y & g t ; & l t ; K e y & g t ; C o l u m n s \ C o l u m n 1 6 3 & l t ; / K e y & g t ; & l t ; / D i a g r a m O b j e c t K e y & g t ; & l t ; D i a g r a m O b j e c t K e y & g t ; & l t ; K e y & g t ; C o l u m n s \ C o l u m n 1 6 4 & l t ; / K e y & g t ; & l t ; / D i a g r a m O b j e c t K e y & g t ; & l t ; D i a g r a m O b j e c t K e y & g t ; & l t ; K e y & g t ; C o l u m n s \ C o l u m n 1 6 5 & l t ; / K e y & g t ; & l t ; / D i a g r a m O b j e c t K e y & g t ; & l t ; D i a g r a m O b j e c t K e y & g t ; & l t ; K e y & g t ; C o l u m n s \ C o l u m n 1 6 6 & l t ; / K e y & g t ; & l t ; / D i a g r a m O b j e c t K e y & g t ; & l t ; D i a g r a m O b j e c t K e y & g t ; & l t ; K e y & g t ; C o l u m n s \ C o l u m n 1 6 7 & l t ; / K e y & g t ; & l t ; / D i a g r a m O b j e c t K e y & g t ; & l t ; D i a g r a m O b j e c t K e y & g t ; & l t ; K e y & g t ; C o l u m n s \ C o l u m n 1 6 8 & l t ; / K e y & g t ; & l t ; / D i a g r a m O b j e c t K e y & g t ; & l t ; D i a g r a m O b j e c t K e y & g t ; & l t ; K e y & g t ; C o l u m n s \ C o l u m n 1 6 9 & l t ; / K e y & g t ; & l t ; / D i a g r a m O b j e c t K e y & g t ; & l t ; D i a g r a m O b j e c t K e y & g t ; & l t ; K e y & g t ; C o l u m n s \ C o l u m n 1 7 0 & l t ; / K e y & g t ; & l t ; / D i a g r a m O b j e c t K e y & g t ; & l t ; D i a g r a m O b j e c t K e y & g t ; & l t ; K e y & g t ; C o l u m n s \ C o l u m n 1 7 1 & l t ; / K e y & g t ; & l t ; / D i a g r a m O b j e c t K e y & g t ; & l t ; D i a g r a m O b j e c t K e y & g t ; & l t ; K e y & g t ; C o l u m n s \ C o l u m n 1 7 2 & l t ; / K e y & g t ; & l t ; / D i a g r a m O b j e c t K e y & g t ; & l t ; D i a g r a m O b j e c t K e y & g t ; & l t ; K e y & g t ; C o l u m n s \ C o l u m n 1 7 3 & l t ; / K e y & g t ; & l t ; / D i a g r a m O b j e c t K e y & g t ; & l t ; D i a g r a m O b j e c t K e y & g t ; & l t ; K e y & g t ; C o l u m n s \ C o l u m n 1 7 4 & l t ; / K e y & g t ; & l t ; / D i a g r a m O b j e c t K e y & g t ; & l t ; D i a g r a m O b j e c t K e y & g t ; & l t ; K e y & g t ; C o l u m n s \ C o l u m n 1 7 5 & l t ; / K e y & g t ; & l t ; / D i a g r a m O b j e c t K e y & g t ; & l t ; D i a g r a m O b j e c t K e y & g t ; & l t ; K e y & g t ; C o l u m n s \ C o l u m n 1 7 6 & l t ; / K e y & g t ; & l t ; / D i a g r a m O b j e c t K e y & g t ; & l t ; D i a g r a m O b j e c t K e y & g t ; & l t ; K e y & g t ; C o l u m n s \ C o l u m n 1 7 7 & l t ; / K e y & g t ; & l t ; / D i a g r a m O b j e c t K e y & g t ; & l t ; D i a g r a m O b j e c t K e y & g t ; & l t ; K e y & g t ; C o l u m n s \ C o l u m n 1 7 8 & l t ; / K e y & g t ; & l t ; / D i a g r a m O b j e c t K e y & g t ; & l t ; D i a g r a m O b j e c t K e y & g t ; & l t ; K e y & g t ; C o l u m n s \ C o l u m n 1 7 9 & l t ; / K e y & g t ; & l t ; / D i a g r a m O b j e c t K e y & g t ; & l t ; D i a g r a m O b j e c t K e y & g t ; & l t ; K e y & g t ; C o l u m n s \ C o l u m n 1 8 0 & l t ; / K e y & g t ; & l t ; / D i a g r a m O b j e c t K e y & g t ; & l t ; D i a g r a m O b j e c t K e y & g t ; & l t ; K e y & g t ; C o l u m n s \ C o l u m n 1 8 1 & l t ; / K e y & g t ; & l t ; / D i a g r a m O b j e c t K e y & g t ; & l t ; D i a g r a m O b j e c t K e y & g t ; & l t ; K e y & g t ; C o l u m n s \ C o l u m n 1 8 2 & l t ; / K e y & g t ; & l t ; / D i a g r a m O b j e c t K e y & g t ; & l t ; D i a g r a m O b j e c t K e y & g t ; & l t ; K e y & g t ; C o l u m n s \ C o l u m n 1 8 3 & l t ; / K e y & g t ; & l t ; / D i a g r a m O b j e c t K e y & g t ; & l t ; D i a g r a m O b j e c t K e y & g t ; & l t ; K e y & g t ; C o l u m n s \ C o l u m n 1 8 4 & l t ; / K e y & g t ; & l t ; / D i a g r a m O b j e c t K e y & g t ; & l t ; D i a g r a m O b j e c t K e y & g t ; & l t ; K e y & g t ; C o l u m n s \ C o l u m n 1 8 5 & l t ; / K e y & g t ; & l t ; / D i a g r a m O b j e c t K e y & g t ; & l t ; D i a g r a m O b j e c t K e y & g t ; & l t ; K e y & g t ; C o l u m n s \ C o l u m n 1 8 6 & l t ; / K e y & g t ; & l t ; / D i a g r a m O b j e c t K e y & g t ; & l t ; D i a g r a m O b j e c t K e y & g t ; & l t ; K e y & g t ; C o l u m n s \ C o l u m n 1 8 7 & l t ; / K e y & g t ; & l t ; / D i a g r a m O b j e c t K e y & g t ; & l t ; D i a g r a m O b j e c t K e y & g t ; & l t ; K e y & g t ; C o l u m n s \ C o l u m n 1 8 8 & l t ; / K e y & g t ; & l t ; / D i a g r a m O b j e c t K e y & g t ; & l t ; D i a g r a m O b j e c t K e y & g t ; & l t ; K e y & g t ; C o l u m n s \ C o l u m n 1 8 9 & l t ; / K e y & g t ; & l t ; / D i a g r a m O b j e c t K e y & g t ; & l t ; D i a g r a m O b j e c t K e y & g t ; & l t ; K e y & g t ; C o l u m n s \ C o l u m n 1 9 0 & l t ; / K e y & g t ; & l t ; / D i a g r a m O b j e c t K e y & g t ; & l t ; D i a g r a m O b j e c t K e y & g t ; & l t ; K e y & g t ; C o l u m n s \ C o l u m n 1 9 1 & l t ; / K e y & g t ; & l t ; / D i a g r a m O b j e c t K e y & g t ; & l t ; D i a g r a m O b j e c t K e y & g t ; & l t ; K e y & g t ; C o l u m n s \ C o l u m n 1 9 2 & l t ; / K e y & g t ; & l t ; / D i a g r a m O b j e c t K e y & g t ; & l t ; D i a g r a m O b j e c t K e y & g t ; & l t ; K e y & g t ; C o l u m n s \ C o l u m n 1 9 3 & l t ; / K e y & g t ; & l t ; / D i a g r a m O b j e c t K e y & g t ; & l t ; D i a g r a m O b j e c t K e y & g t ; & l t ; K e y & g t ; C o l u m n s \ C o l u m n 1 9 4 & l t ; / K e y & g t ; & l t ; / D i a g r a m O b j e c t K e y & g t ; & l t ; D i a g r a m O b j e c t K e y & g t ; & l t ; K e y & g t ; C o l u m n s \ C o l u m n 1 9 5 & l t ; / K e y & g t ; & l t ; / D i a g r a m O b j e c t K e y & g t ; & l t ; D i a g r a m O b j e c t K e y & g t ; & l t ; K e y & g t ; C o l u m n s \ C o l u m n 1 9 6 & l t ; / K e y & g t ; & l t ; / D i a g r a m O b j e c t K e y & g t ; & l t ; D i a g r a m O b j e c t K e y & g t ; & l t ; K e y & g t ; C o l u m n s \ C o l u m n 1 9 7 & l t ; / K e y & g t ; & l t ; / D i a g r a m O b j e c t K e y & g t ; & l t ; D i a g r a m O b j e c t K e y & g t ; & l t ; K e y & g t ; C o l u m n s \ C o l u m n 1 9 8 & l t ; / K e y & g t ; & l t ; / D i a g r a m O b j e c t K e y & g t ; & l t ; D i a g r a m O b j e c t K e y & g t ; & l t ; K e y & g t ; C o l u m n s \ C o l u m n 1 9 9 & l t ; / K e y & g t ; & l t ; / D i a g r a m O b j e c t K e y & g t ; & l t ; D i a g r a m O b j e c t K e y & g t ; & l t ; K e y & g t ; C o l u m n s \ C o l u m n 2 0 0 & l t ; / K e y & g t ; & l t ; / D i a g r a m O b j e c t K e y & g t ; & l t ; D i a g r a m O b j e c t K e y & g t ; & l t ; K e y & g t ; C o l u m n s \ C o l u m n 2 0 1 & l t ; / K e y & g t ; & l t ; / D i a g r a m O b j e c t K e y & g t ; & l t ; D i a g r a m O b j e c t K e y & g t ; & l t ; K e y & g t ; C o l u m n s \ C o l u m n 2 0 2 & l t ; / K e y & g t ; & l t ; / D i a g r a m O b j e c t K e y & g t ; & l t ; D i a g r a m O b j e c t K e y & g t ; & l t ; K e y & g t ; C o l u m n s \ C o l u m n 2 0 3 & l t ; / K e y & g t ; & l t ; / D i a g r a m O b j e c t K e y & g t ; & l t ; D i a g r a m O b j e c t K e y & g t ; & l t ; K e y & g t ; C o l u m n s \ C o l u m n 2 0 4 & l t ; / K e y & g t ; & l t ; / D i a g r a m O b j e c t K e y & g t ; & l t ; D i a g r a m O b j e c t K e y & g t ; & l t ; K e y & g t ; C o l u m n s \ C o l u m n 2 0 5 & l t ; / K e y & g t ; & l t ; / D i a g r a m O b j e c t K e y & g t ; & l t ; D i a g r a m O b j e c t K e y & g t ; & l t ; K e y & g t ; C o l u m n s \ C o l u m n 2 0 6 & l t ; / K e y & g t ; & l t ; / D i a g r a m O b j e c t K e y & g t ; & l t ; D i a g r a m O b j e c t K e y & g t ; & l t ; K e y & g t ; C o l u m n s \ C o l u m n 2 0 7 & l t ; / K e y & g t ; & l t ; / D i a g r a m O b j e c t K e y & g t ; & l t ; D i a g r a m O b j e c t K e y & g t ; & l t ; K e y & g t ; C o l u m n s \ C o l u m n 2 0 8 & l t ; / K e y & g t ; & l t ; / D i a g r a m O b j e c t K e y & g t ; & l t ; D i a g r a m O b j e c t K e y & g t ; & l t ; K e y & g t ; C o l u m n s \ C o l u m n 2 0 9 & l t ; / K e y & g t ; & l t ; / D i a g r a m O b j e c t K e y & g t ; & l t ; D i a g r a m O b j e c t K e y & g t ; & l t ; K e y & g t ; C o l u m n s \ C o l u m n 2 1 0 & l t ; / K e y & g t ; & l t ; / D i a g r a m O b j e c t K e y & g t ; & l t ; D i a g r a m O b j e c t K e y & g t ; & l t ; K e y & g t ; C o l u m n s \ C o l u m n 2 1 1 & l t ; / K e y & g t ; & l t ; / D i a g r a m O b j e c t K e y & g t ; & l t ; D i a g r a m O b j e c t K e y & g t ; & l t ; K e y & g t ; C o l u m n s \ C o l u m n 2 1 2 & l t ; / K e y & g t ; & l t ; / D i a g r a m O b j e c t K e y & g t ; & l t ; D i a g r a m O b j e c t K e y & g t ; & l t ; K e y & g t ; C o l u m n s \ C o l u m n 2 1 3 & l t ; / K e y & g t ; & l t ; / D i a g r a m O b j e c t K e y & g t ; & l t ; D i a g r a m O b j e c t K e y & g t ; & l t ; K e y & g t ; C o l u m n s \ C o l u m n 2 1 4 & l t ; / K e y & g t ; & l t ; / D i a g r a m O b j e c t K e y & g t ; & l t ; D i a g r a m O b j e c t K e y & g t ; & l t ; K e y & g t ; C o l u m n s \ C o l u m n 2 1 5 & l t ; / K e y & g t ; & l t ; / D i a g r a m O b j e c t K e y & g t ; & l t ; D i a g r a m O b j e c t K e y & g t ; & l t ; K e y & g t ; C o l u m n s \ C o l u m n 2 1 6 & l t ; / K e y & g t ; & l t ; / D i a g r a m O b j e c t K e y & g t ; & l t ; D i a g r a m O b j e c t K e y & g t ; & l t ; K e y & g t ; C o l u m n s \ C o l u m n 2 1 7 & l t ; / K e y & g t ; & l t ; / D i a g r a m O b j e c t K e y & g t ; & l t ; D i a g r a m O b j e c t K e y & g t ; & l t ; K e y & g t ; C o l u m n s \ C o l u m n 2 1 8 & l t ; / K e y & g t ; & l t ; / D i a g r a m O b j e c t K e y & g t ; & l t ; D i a g r a m O b j e c t K e y & g t ; & l t ; K e y & g t ; C o l u m n s \ C o l u m n 2 1 9 & l t ; / K e y & g t ; & l t ; / D i a g r a m O b j e c t K e y & g t ; & l t ; D i a g r a m O b j e c t K e y & g t ; & l t ; K e y & g t ; C o l u m n s \ C o l u m n 2 2 0 & l t ; / K e y & g t ; & l t ; / D i a g r a m O b j e c t K e y & g t ; & l t ; D i a g r a m O b j e c t K e y & g t ; & l t ; K e y & g t ; C o l u m n s \ C o l u m n 2 2 1 & l t ; / K e y & g t ; & l t ; / D i a g r a m O b j e c t K e y & g t ; & l t ; D i a g r a m O b j e c t K e y & g t ; & l t ; K e y & g t ; C o l u m n s \ C o l u m n 2 2 2 & l t ; / K e y & g t ; & l t ; / D i a g r a m O b j e c t K e y & g t ; & l t ; D i a g r a m O b j e c t K e y & g t ; & l t ; K e y & g t ; C o l u m n s \ C o l u m n 2 2 3 & l t ; / K e y & g t ; & l t ; / D i a g r a m O b j e c t K e y & g t ; & l t ; D i a g r a m O b j e c t K e y & g t ; & l t ; K e y & g t ; C o l u m n s \ C o l u m n 2 2 4 & l t ; / K e y & g t ; & l t ; / D i a g r a m O b j e c t K e y & g t ; & l t ; D i a g r a m O b j e c t K e y & g t ; & l t ; K e y & g t ; C o l u m n s \ C o l u m n 2 2 5 & l t ; / K e y & g t ; & l t ; / D i a g r a m O b j e c t K e y & g t ; & l t ; D i a g r a m O b j e c t K e y & g t ; & l t ; K e y & g t ; C o l u m n s \ C o l u m n 2 2 6 & l t ; / K e y & g t ; & l t ; / D i a g r a m O b j e c t K e y & g t ; & l t ; D i a g r a m O b j e c t K e y & g t ; & l t ; K e y & g t ; C o l u m n s \ C o l u m n 2 2 7 & l t ; / K e y & g t ; & l t ; / D i a g r a m O b j e c t K e y & g t ; & l t ; D i a g r a m O b j e c t K e y & g t ; & l t ; K e y & g t ; C o l u m n s \ C o l u m n 2 2 8 & l t ; / K e y & g t ; & l t ; / D i a g r a m O b j e c t K e y & g t ; & l t ; D i a g r a m O b j e c t K e y & g t ; & l t ; K e y & g t ; C o l u m n s \ C o l u m n 2 2 9 & l t ; / K e y & g t ; & l t ; / D i a g r a m O b j e c t K e y & g t ; & l t ; D i a g r a m O b j e c t K e y & g t ; & l t ; K e y & g t ; C o l u m n s \ C o l u m n 2 3 0 & l t ; / K e y & g t ; & l t ; / D i a g r a m O b j e c t K e y & g t ; & l t ; D i a g r a m O b j e c t K e y & g t ; & l t ; K e y & g t ; C o l u m n s \ C o l u m n 2 3 1 & l t ; / K e y & g t ; & l t ; / D i a g r a m O b j e c t K e y & g t ; & l t ; D i a g r a m O b j e c t K e y & g t ; & l t ; K e y & g t ; C o l u m n s \ C o l u m n 2 3 2 & l t ; / K e y & g t ; & l t ; / D i a g r a m O b j e c t K e y & g t ; & l t ; D i a g r a m O b j e c t K e y & g t ; & l t ; K e y & g t ; C o l u m n s \ C o l u m n 2 3 3 & l t ; / K e y & g t ; & l t ; / D i a g r a m O b j e c t K e y & g t ; & l t ; D i a g r a m O b j e c t K e y & g t ; & l t ; K e y & g t ; C o l u m n s \ C o l u m n 2 3 4 & l t ; / K e y & g t ; & l t ; / D i a g r a m O b j e c t K e y & g t ; & l t ; D i a g r a m O b j e c t K e y & g t ; & l t ; K e y & g t ; C o l u m n s \ C o l u m n 2 3 5 & l t ; / K e y & g t ; & l t ; / D i a g r a m O b j e c t K e y & g t ; & l t ; D i a g r a m O b j e c t K e y & g t ; & l t ; K e y & g t ; C o l u m n s \ C o l u m n 2 3 6 & l t ; / K e y & g t ; & l t ; / D i a g r a m O b j e c t K e y & g t ; & l t ; D i a g r a m O b j e c t K e y & g t ; & l t ; K e y & g t ; C o l u m n s \ C o l u m n 2 3 7 & l t ; / K e y & g t ; & l t ; / D i a g r a m O b j e c t K e y & g t ; & l t ; D i a g r a m O b j e c t K e y & g t ; & l t ; K e y & g t ; C o l u m n s \ C o l u m n 2 3 8 & l t ; / K e y & g t ; & l t ; / D i a g r a m O b j e c t K e y & g t ; & l t ; D i a g r a m O b j e c t K e y & g t ; & l t ; K e y & g t ; C o l u m n s \ C o l u m n 2 3 9 & l t ; / K e y & g t ; & l t ; / D i a g r a m O b j e c t K e y & g t ; & l t ; D i a g r a m O b j e c t K e y & g t ; & l t ; K e y & g t ; C o l u m n s \ C o l u m n 2 4 0 & l t ; / K e y & g t ; & l t ; / D i a g r a m O b j e c t K e y & g t ; & l t ; D i a g r a m O b j e c t K e y & g t ; & l t ; K e y & g t ; C o l u m n s \ C o l u m n 2 4 1 & l t ; / K e y & g t ; & l t ; / D i a g r a m O b j e c t K e y & g t ; & l t ; D i a g r a m O b j e c t K e y & g t ; & l t ; K e y & g t ; C o l u m n s \ C o l u m n 2 4 2 & l t ; / K e y & g t ; & l t ; / D i a g r a m O b j e c t K e y & g t ; & l t ; D i a g r a m O b j e c t K e y & g t ; & l t ; K e y & g t ; C o l u m n s \ C o l u m n 2 4 3 & l t ; / K e y & g t ; & l t ; / D i a g r a m O b j e c t K e y & g t ; & l t ; D i a g r a m O b j e c t K e y & g t ; & l t ; K e y & g t ; C o l u m n s \ C o l u m n 2 4 4 & l t ; / K e y & g t ; & l t ; / D i a g r a m O b j e c t K e y & g t ; & l t ; D i a g r a m O b j e c t K e y & g t ; & l t ; K e y & g t ; C o l u m n s \ C o l u m n 2 4 5 & l t ; / K e y & g t ; & l t ; / D i a g r a m O b j e c t K e y & g t ; & l t ; D i a g r a m O b j e c t K e y & g t ; & l t ; K e y & g t ; C o l u m n s \ C o l u m n 2 4 6 & l t ; / K e y & g t ; & l t ; / D i a g r a m O b j e c t K e y & g t ; & l t ; D i a g r a m O b j e c t K e y & g t ; & l t ; K e y & g t ; C o l u m n s \ C o l u m n 2 4 7 & l t ; / K e y & g t ; & l t ; / D i a g r a m O b j e c t K e y & g t ; & l t ; D i a g r a m O b j e c t K e y & g t ; & l t ; K e y & g t ; C o l u m n s \ C o l u m n 2 4 8 & l t ; / K e y & g t ; & l t ; / D i a g r a m O b j e c t K e y & g t ; & l t ; D i a g r a m O b j e c t K e y & g t ; & l t ; K e y & g t ; C o l u m n s \ C o l u m n 2 4 9 & l t ; / K e y & g t ; & l t ; / D i a g r a m O b j e c t K e y & g t ; & l t ; D i a g r a m O b j e c t K e y & g t ; & l t ; K e y & g t ; C o l u m n s \ C o l u m n 2 5 0 & l t ; / K e y & g t ; & l t ; / D i a g r a m O b j e c t K e y & g t ; & l t ; D i a g r a m O b j e c t K e y & g t ; & l t ; K e y & g t ; C o l u m n s \ C o l u m n 2 5 1 & l t ; / K e y & g t ; & l t ; / D i a g r a m O b j e c t K e y & g t ; & l t ; D i a g r a m O b j e c t K e y & g t ; & l t ; K e y & g t ; C o l u m n s \ C o l u m n 2 5 2 & l t ; / K e y & g t ; & l t ; / D i a g r a m O b j e c t K e y & g t ; & l t ; D i a g r a m O b j e c t K e y & g t ; & l t ; K e y & g t ; C o l u m n s \ C o l u m n 2 5 3 & l t ; / K e y & g t ; & l t ; / D i a g r a m O b j e c t K e y & g t ; & l t ; D i a g r a m O b j e c t K e y & g t ; & l t ; K e y & g t ; C o l u m n s \ C o l u m n 2 5 4 & l t ; / K e y & g t ; & l t ; / D i a g r a m O b j e c t K e y & g t ; & l t ; D i a g r a m O b j e c t K e y & g t ; & l t ; K e y & g t ; C o l u m n s \ C o l u m n 2 5 5 & l t ; / K e y & g t ; & l t ; / D i a g r a m O b j e c t K e y & g t ; & l t ; D i a g r a m O b j e c t K e y & g t ; & l t ; K e y & g t ; C o l u m n s \ C o l u m n 2 5 6 & l t ; / K e y & g t ; & l t ; / D i a g r a m O b j e c t K e y & g t ; & l t ; D i a g r a m O b j e c t K e y & g t ; & l t ; K e y & g t ; C o l u m n s \ C o l u m n 2 5 7 & l t ; / K e y & g t ; & l t ; / D i a g r a m O b j e c t K e y & g t ; & l t ; D i a g r a m O b j e c t K e y & g t ; & l t ; K e y & g t ; C o l u m n s \ C o l u m n 2 5 8 & l t ; / K e y & g t ; & l t ; / D i a g r a m O b j e c t K e y & g t ; & l t ; D i a g r a m O b j e c t K e y & g t ; & l t ; K e y & g t ; C o l u m n s \ C o l u m n 2 5 9 & l t ; / K e y & g t ; & l t ; / D i a g r a m O b j e c t K e y & g t ; & l t ; D i a g r a m O b j e c t K e y & g t ; & l t ; K e y & g t ; C o l u m n s \ C o l u m n 2 6 0 & l t ; / K e y & g t ; & l t ; / D i a g r a m O b j e c t K e y & g t ; & l t ; D i a g r a m O b j e c t K e y & g t ; & l t ; K e y & g t ; C o l u m n s \ C o l u m n 2 6 1 & l t ; / K e y & g t ; & l t ; / D i a g r a m O b j e c t K e y & g t ; & l t ; D i a g r a m O b j e c t K e y & g t ; & l t ; K e y & g t ; C o l u m n s \ C o l u m n 2 6 2 & l t ; / K e y & g t ; & l t ; / D i a g r a m O b j e c t K e y & g t ; & l t ; D i a g r a m O b j e c t K e y & g t ; & l t ; K e y & g t ; C o l u m n s \ C o l u m n 2 6 3 & l t ; / K e y & g t ; & l t ; / D i a g r a m O b j e c t K e y & g t ; & l t ; D i a g r a m O b j e c t K e y & g t ; & l t ; K e y & g t ; C o l u m n s \ C o l u m n 2 6 4 & l t ; / K e y & g t ; & l t ; / D i a g r a m O b j e c t K e y & g t ; & l t ; D i a g r a m O b j e c t K e y & g t ; & l t ; K e y & g t ; C o l u m n s \ C o l u m n 2 6 5 & l t ; / K e y & g t ; & l t ; / D i a g r a m O b j e c t K e y & g t ; & l t ; D i a g r a m O b j e c t K e y & g t ; & l t ; K e y & g t ; C o l u m n s \ C o l u m n 2 6 6 & l t ; / K e y & g t ; & l t ; / D i a g r a m O b j e c t K e y & g t ; & l t ; D i a g r a m O b j e c t K e y & g t ; & l t ; K e y & g t ; C o l u m n s \ C o l u m n 2 6 7 & l t ; / K e y & g t ; & l t ; / D i a g r a m O b j e c t K e y & g t ; & l t ; D i a g r a m O b j e c t K e y & g t ; & l t ; K e y & g t ; C o l u m n s \ C o l u m n 2 6 8 & l t ; / K e y & g t ; & l t ; / D i a g r a m O b j e c t K e y & g t ; & l t ; D i a g r a m O b j e c t K e y & g t ; & l t ; K e y & g t ; C o l u m n s \ C o l u m n 2 6 9 & l t ; / K e y & g t ; & l t ; / D i a g r a m O b j e c t K e y & g t ; & l t ; D i a g r a m O b j e c t K e y & g t ; & l t ; K e y & g t ; C o l u m n s \ C o l u m n 2 7 0 & l t ; / K e y & g t ; & l t ; / D i a g r a m O b j e c t K e y & g t ; & l t ; D i a g r a m O b j e c t K e y & g t ; & l t ; K e y & g t ; C o l u m n s \ C o l u m n 2 7 1 & l t ; / K e y & g t ; & l t ; / D i a g r a m O b j e c t K e y & g t ; & l t ; D i a g r a m O b j e c t K e y & g t ; & l t ; K e y & g t ; C o l u m n s \ C o l u m n 2 7 2 & l t ; / K e y & g t ; & l t ; / D i a g r a m O b j e c t K e y & g t ; & l t ; D i a g r a m O b j e c t K e y & g t ; & l t ; K e y & g t ; C o l u m n s \ C o l u m n 2 7 3 & l t ; / K e y & g t ; & l t ; / D i a g r a m O b j e c t K e y & g t ; & l t ; D i a g r a m O b j e c t K e y & g t ; & l t ; K e y & g t ; C o l u m n s \ C o l u m n 2 7 4 & l t ; / K e y & g t ; & l t ; / D i a g r a m O b j e c t K e y & g t ; & l t ; D i a g r a m O b j e c t K e y & g t ; & l t ; K e y & g t ; C o l u m n s \ C o l u m n 2 7 5 & l t ; / K e y & g t ; & l t ; / D i a g r a m O b j e c t K e y & g t ; & l t ; D i a g r a m O b j e c t K e y & g t ; & l t ; K e y & g t ; C o l u m n s \ C o l u m n 2 7 6 & l t ; / K e y & g t ; & l t ; / D i a g r a m O b j e c t K e y & g t ; & l t ; D i a g r a m O b j e c t K e y & g t ; & l t ; K e y & g t ; C o l u m n s \ C o l u m n 2 7 7 & l t ; / K e y & g t ; & l t ; / D i a g r a m O b j e c t K e y & g t ; & l t ; D i a g r a m O b j e c t K e y & g t ; & l t ; K e y & g t ; C o l u m n s \ C o l u m n 2 7 8 & l t ; / K e y & g t ; & l t ; / D i a g r a m O b j e c t K e y & g t ; & l t ; D i a g r a m O b j e c t K e y & g t ; & l t ; K e y & g t ; C o l u m n s \ C o l u m n 2 7 9 & l t ; / K e y & g t ; & l t ; / D i a g r a m O b j e c t K e y & g t ; & l t ; D i a g r a m O b j e c t K e y & g t ; & l t ; K e y & g t ; C o l u m n s \ C o l u m n 2 8 0 & l t ; / K e y & g t ; & l t ; / D i a g r a m O b j e c t K e y & g t ; & l t ; D i a g r a m O b j e c t K e y & g t ; & l t ; K e y & g t ; C o l u m n s \ C o l u m n 2 8 1 & l t ; / K e y & g t ; & l t ; / D i a g r a m O b j e c t K e y & g t ; & l t ; D i a g r a m O b j e c t K e y & g t ; & l t ; K e y & g t ; C o l u m n s \ C o l u m n 2 8 2 & l t ; / K e y & g t ; & l t ; / D i a g r a m O b j e c t K e y & g t ; & l t ; D i a g r a m O b j e c t K e y & g t ; & l t ; K e y & g t ; C o l u m n s \ C o l u m n 2 8 3 & l t ; / K e y & g t ; & l t ; / D i a g r a m O b j e c t K e y & g t ; & l t ; D i a g r a m O b j e c t K e y & g t ; & l t ; K e y & g t ; C o l u m n s \ C o l u m n 2 8 4 & l t ; / K e y & g t ; & l t ; / D i a g r a m O b j e c t K e y & g t ; & l t ; D i a g r a m O b j e c t K e y & g t ; & l t ; K e y & g t ; C o l u m n s \ C o l u m n 2 8 5 & l t ; / K e y & g t ; & l t ; / D i a g r a m O b j e c t K e y & g t ; & l t ; D i a g r a m O b j e c t K e y & g t ; & l t ; K e y & g t ; C o l u m n s \ C o l u m n 2 8 6 & l t ; / K e y & g t ; & l t ; / D i a g r a m O b j e c t K e y & g t ; & l t ; D i a g r a m O b j e c t K e y & g t ; & l t ; K e y & g t ; C o l u m n s \ C o l u m n 2 8 7 & l t ; / K e y & g t ; & l t ; / D i a g r a m O b j e c t K e y & g t ; & l t ; D i a g r a m O b j e c t K e y & g t ; & l t ; K e y & g t ; C o l u m n s \ C o l u m n 2 8 8 & l t ; / K e y & g t ; & l t ; / D i a g r a m O b j e c t K e y & g t ; & l t ; D i a g r a m O b j e c t K e y & g t ; & l t ; K e y & g t ; C o l u m n s \ C o l u m n 2 8 9 & l t ; / K e y & g t ; & l t ; / D i a g r a m O b j e c t K e y & g t ; & l t ; D i a g r a m O b j e c t K e y & g t ; & l t ; K e y & g t ; C o l u m n s \ C o l u m n 2 9 0 & l t ; / K e y & g t ; & l t ; / D i a g r a m O b j e c t K e y & g t ; & l t ; D i a g r a m O b j e c t K e y & g t ; & l t ; K e y & g t ; C o l u m n s \ C o l u m n 2 9 1 & l t ; / K e y & g t ; & l t ; / D i a g r a m O b j e c t K e y & g t ; & l t ; D i a g r a m O b j e c t K e y & g t ; & l t ; K e y & g t ; C o l u m n s \ C o l u m n 2 9 2 & l t ; / K e y & g t ; & l t ; / D i a g r a m O b j e c t K e y & g t ; & l t ; D i a g r a m O b j e c t K e y & g t ; & l t ; K e y & g t ; C o l u m n s \ C o l u m n 2 9 3 & l t ; / K e y & g t ; & l t ; / D i a g r a m O b j e c t K e y & g t ; & l t ; D i a g r a m O b j e c t K e y & g t ; & l t ; K e y & g t ; C o l u m n s \ C o l u m n 2 9 4 & l t ; / K e y & g t ; & l t ; / D i a g r a m O b j e c t K e y & g t ; & l t ; D i a g r a m O b j e c t K e y & g t ; & l t ; K e y & g t ; C o l u m n s \ C o l u m n 2 9 5 & l t ; / K e y & g t ; & l t ; / D i a g r a m O b j e c t K e y & g t ; & l t ; D i a g r a m O b j e c t K e y & g t ; & l t ; K e y & g t ; C o l u m n s \ C o l u m n 2 9 6 & l t ; / K e y & g t ; & l t ; / D i a g r a m O b j e c t K e y & g t ; & l t ; D i a g r a m O b j e c t K e y & g t ; & l t ; K e y & g t ; C o l u m n s \ C o l u m n 2 9 7 & l t ; / K e y & g t ; & l t ; / D i a g r a m O b j e c t K e y & g t ; & l t ; D i a g r a m O b j e c t K e y & g t ; & l t ; K e y & g t ; C o l u m n s \ C o l u m n 2 9 8 & l t ; / K e y & g t ; & l t ; / D i a g r a m O b j e c t K e y & g t ; & l t ; D i a g r a m O b j e c t K e y & g t ; & l t ; K e y & g t ; C o l u m n s \ C o l u m n 2 9 9 & l t ; / K e y & g t ; & l t ; / D i a g r a m O b j e c t K e y & g t ; & l t ; D i a g r a m O b j e c t K e y & g t ; & l t ; K e y & g t ; C o l u m n s \ C o l u m n 3 0 0 & l t ; / K e y & g t ; & l t ; / D i a g r a m O b j e c t K e y & g t ; & l t ; D i a g r a m O b j e c t K e y & g t ; & l t ; K e y & g t ; C o l u m n s \ C o l u m n 3 0 1 & l t ; / K e y & g t ; & l t ; / D i a g r a m O b j e c t K e y & g t ; & l t ; D i a g r a m O b j e c t K e y & g t ; & l t ; K e y & g t ; C o l u m n s \ C o l u m n 3 0 2 & l t ; / K e y & g t ; & l t ; / D i a g r a m O b j e c t K e y & g t ; & l t ; D i a g r a m O b j e c t K e y & g t ; & l t ; K e y & g t ; C o l u m n s \ C o l u m n 3 0 3 & l t ; / K e y & g t ; & l t ; / D i a g r a m O b j e c t K e y & g t ; & l t ; D i a g r a m O b j e c t K e y & g t ; & l t ; K e y & g t ; C o l u m n s \ C o l u m n 3 0 4 & l t ; / K e y & g t ; & l t ; / D i a g r a m O b j e c t K e y & g t ; & l t ; D i a g r a m O b j e c t K e y & g t ; & l t ; K e y & g t ; C o l u m n s \ C o l u m n 3 0 5 & l t ; / K e y & g t ; & l t ; / D i a g r a m O b j e c t K e y & g t ; & l t ; D i a g r a m O b j e c t K e y & g t ; & l t ; K e y & g t ; C o l u m n s \ C o l u m n 3 0 6 & l t ; / K e y & g t ; & l t ; / D i a g r a m O b j e c t K e y & g t ; & l t ; D i a g r a m O b j e c t K e y & g t ; & l t ; K e y & g t ; C o l u m n s \ C o l u m n 3 0 7 & l t ; / K e y & g t ; & l t ; / D i a g r a m O b j e c t K e y & g t ; & l t ; D i a g r a m O b j e c t K e y & g t ; & l t ; K e y & g t ; C o l u m n s \ C o l u m n 3 0 8 & l t ; / K e y & g t ; & l t ; / D i a g r a m O b j e c t K e y & g t ; & l t ; D i a g r a m O b j e c t K e y & g t ; & l t ; K e y & g t ; C o l u m n s \ C o l u m n 3 0 9 & l t ; / K e y & g t ; & l t ; / D i a g r a m O b j e c t K e y & g t ; & l t ; D i a g r a m O b j e c t K e y & g t ; & l t ; K e y & g t ; C o l u m n s \ C o l u m n 3 1 0 & l t ; / K e y & g t ; & l t ; / D i a g r a m O b j e c t K e y & g t ; & l t ; D i a g r a m O b j e c t K e y & g t ; & l t ; K e y & g t ; C o l u m n s \ C o l u m n 3 1 1 & l t ; / K e y & g t ; & l t ; / D i a g r a m O b j e c t K e y & g t ; & l t ; D i a g r a m O b j e c t K e y & g t ; & l t ; K e y & g t ; C o l u m n s \ C o l u m n 3 1 2 & l t ; / K e y & g t ; & l t ; / D i a g r a m O b j e c t K e y & g t ; & l t ; D i a g r a m O b j e c t K e y & g t ; & l t ; K e y & g t ; C o l u m n s \ C o l u m n 3 1 3 & l t ; / K e y & g t ; & l t ; / D i a g r a m O b j e c t K e y & g t ; & l t ; D i a g r a m O b j e c t K e y & g t ; & l t ; K e y & g t ; C o l u m n s \ C o l u m n 3 1 4 & l t ; / K e y & g t ; & l t ; / D i a g r a m O b j e c t K e y & g t ; & l t ; D i a g r a m O b j e c t K e y & g t ; & l t ; K e y & g t ; C o l u m n s \ C o l u m n 3 1 5 & l t ; / K e y & g t ; & l t ; / D i a g r a m O b j e c t K e y & g t ; & l t ; D i a g r a m O b j e c t K e y & g t ; & l t ; K e y & g t ; C o l u m n s \ C o l u m n 3 1 6 & l t ; / K e y & g t ; & l t ; / D i a g r a m O b j e c t K e y & g t ; & l t ; D i a g r a m O b j e c t K e y & g t ; & l t ; K e y & g t ; C o l u m n s \ C o l u m n 3 1 7 & l t ; / K e y & g t ; & l t ; / D i a g r a m O b j e c t K e y & g t ; & l t ; D i a g r a m O b j e c t K e y & g t ; & l t ; K e y & g t ; C o l u m n s \ C o l u m n 3 1 8 & l t ; / K e y & g t ; & l t ; / D i a g r a m O b j e c t K e y & g t ; & l t ; D i a g r a m O b j e c t K e y & g t ; & l t ; K e y & g t ; C o l u m n s \ C o l u m n 3 1 9 & l t ; / K e y & g t ; & l t ; / D i a g r a m O b j e c t K e y & g t ; & l t ; D i a g r a m O b j e c t K e y & g t ; & l t ; K e y & g t ; C o l u m n s \ C o l u m n 3 2 0 & l t ; / K e y & g t ; & l t ; / D i a g r a m O b j e c t K e y & g t ; & l t ; D i a g r a m O b j e c t K e y & g t ; & l t ; K e y & g t ; C o l u m n s \ C o l u m n 3 2 1 & l t ; / K e y & g t ; & l t ; / D i a g r a m O b j e c t K e y & g t ; & l t ; D i a g r a m O b j e c t K e y & g t ; & l t ; K e y & g t ; C o l u m n s \ C o l u m n 3 2 2 & l t ; / K e y & g t ; & l t ; / D i a g r a m O b j e c t K e y & g t ; & l t ; D i a g r a m O b j e c t K e y & g t ; & l t ; K e y & g t ; C o l u m n s \ C o l u m n 3 2 3 & l t ; / K e y & g t ; & l t ; / D i a g r a m O b j e c t K e y & g t ; & l t ; D i a g r a m O b j e c t K e y & g t ; & l t ; K e y & g t ; C o l u m n s \ C o l u m n 3 2 4 & l t ; / K e y & g t ; & l t ; / D i a g r a m O b j e c t K e y & g t ; & l t ; D i a g r a m O b j e c t K e y & g t ; & l t ; K e y & g t ; C o l u m n s \ C o l u m n 3 2 5 & l t ; / K e y & g t ; & l t ; / D i a g r a m O b j e c t K e y & g t ; & l t ; D i a g r a m O b j e c t K e y & g t ; & l t ; K e y & g t ; C o l u m n s \ C o l u m n 3 2 6 & l t ; / K e y & g t ; & l t ; / D i a g r a m O b j e c t K e y & g t ; & l t ; D i a g r a m O b j e c t K e y & g t ; & l t ; K e y & g t ; C o l u m n s \ C o l u m n 3 2 7 & l t ; / K e y & g t ; & l t ; / D i a g r a m O b j e c t K e y & g t ; & l t ; D i a g r a m O b j e c t K e y & g t ; & l t ; K e y & g t ; C o l u m n s \ C o l u m n 3 2 8 & l t ; / K e y & g t ; & l t ; / D i a g r a m O b j e c t K e y & g t ; & l t ; D i a g r a m O b j e c t K e y & g t ; & l t ; K e y & g t ; C o l u m n s \ C o l u m n 3 2 9 & l t ; / K e y & g t ; & l t ; / D i a g r a m O b j e c t K e y & g t ; & l t ; D i a g r a m O b j e c t K e y & g t ; & l t ; K e y & g t ; C o l u m n s \ C o l u m n 3 3 0 & l t ; / K e y & g t ; & l t ; / D i a g r a m O b j e c t K e y & g t ; & l t ; D i a g r a m O b j e c t K e y & g t ; & l t ; K e y & g t ; C o l u m n s \ C o l u m n 3 3 1 & l t ; / K e y & g t ; & l t ; / D i a g r a m O b j e c t K e y & g t ; & l t ; D i a g r a m O b j e c t K e y & g t ; & l t ; K e y & g t ; C o l u m n s \ C o l u m n 3 3 2 & l t ; / K e y & g t ; & l t ; / D i a g r a m O b j e c t K e y & g t ; & l t ; D i a g r a m O b j e c t K e y & g t ; & l t ; K e y & g t ; C o l u m n s \ C o l u m n 3 3 3 & l t ; / K e y & g t ; & l t ; / D i a g r a m O b j e c t K e y & g t ; & l t ; D i a g r a m O b j e c t K e y & g t ; & l t ; K e y & g t ; C o l u m n s \ C o l u m n 3 3 4 & l t ; / K e y & g t ; & l t ; / D i a g r a m O b j e c t K e y & g t ; & l t ; D i a g r a m O b j e c t K e y & g t ; & l t ; K e y & g t ; C o l u m n s \ C o l u m n 3 3 5 & l t ; / K e y & g t ; & l t ; / D i a g r a m O b j e c t K e y & g t ; & l t ; D i a g r a m O b j e c t K e y & g t ; & l t ; K e y & g t ; C o l u m n s \ C o l u m n 3 3 6 & l t ; / K e y & g t ; & l t ; / D i a g r a m O b j e c t K e y & g t ; & l t ; D i a g r a m O b j e c t K e y & g t ; & l t ; K e y & g t ; C o l u m n s \ C o l u m n 3 3 7 & l t ; / K e y & g t ; & l t ; / D i a g r a m O b j e c t K e y & g t ; & l t ; D i a g r a m O b j e c t K e y & g t ; & l t ; K e y & g t ; C o l u m n s \ C o l u m n 3 3 8 & l t ; / K e y & g t ; & l t ; / D i a g r a m O b j e c t K e y & g t ; & l t ; D i a g r a m O b j e c t K e y & g t ; & l t ; K e y & g t ; C o l u m n s \ C o l u m n 3 3 9 & l t ; / K e y & g t ; & l t ; / D i a g r a m O b j e c t K e y & g t ; & l t ; D i a g r a m O b j e c t K e y & g t ; & l t ; K e y & g t ; C o l u m n s \ C o l u m n 3 4 0 & l t ; / K e y & g t ; & l t ; / D i a g r a m O b j e c t K e y & g t ; & l t ; D i a g r a m O b j e c t K e y & g t ; & l t ; K e y & g t ; C o l u m n s \ C o l u m n 3 4 1 & l t ; / K e y & g t ; & l t ; / D i a g r a m O b j e c t K e y & g t ; & l t ; D i a g r a m O b j e c t K e y & g t ; & l t ; K e y & g t ; C o l u m n s \ C o l u m n 3 4 2 & l t ; / K e y & g t ; & l t ; / D i a g r a m O b j e c t K e y & g t ; & l t ; D i a g r a m O b j e c t K e y & g t ; & l t ; K e y & g t ; C o l u m n s \ C o l u m n 3 4 3 & l t ; / K e y & g t ; & l t ; / D i a g r a m O b j e c t K e y & g t ; & l t ; D i a g r a m O b j e c t K e y & g t ; & l t ; K e y & g t ; C o l u m n s \ C o l u m n 3 4 4 & l t ; / K e y & g t ; & l t ; / D i a g r a m O b j e c t K e y & g t ; & l t ; D i a g r a m O b j e c t K e y & g t ; & l t ; K e y & g t ; C o l u m n s \ C o l u m n 3 4 5 & l t ; / K e y & g t ; & l t ; / D i a g r a m O b j e c t K e y & g t ; & l t ; D i a g r a m O b j e c t K e y & g t ; & l t ; K e y & g t ; C o l u m n s \ C o l u m n 3 4 6 & l t ; / K e y & g t ; & l t ; / D i a g r a m O b j e c t K e y & g t ; & l t ; D i a g r a m O b j e c t K e y & g t ; & l t ; K e y & g t ; C o l u m n s \ C o l u m n 3 4 7 & l t ; / K e y & g t ; & l t ; / D i a g r a m O b j e c t K e y & g t ; & l t ; D i a g r a m O b j e c t K e y & g t ; & l t ; K e y & g t ; C o l u m n s \ C o l u m n 3 4 8 & l t ; / K e y & g t ; & l t ; / D i a g r a m O b j e c t K e y & g t ; & l t ; D i a g r a m O b j e c t K e y & g t ; & l t ; K e y & g t ; C o l u m n s \ C o l u m n 3 4 9 & l t ; / K e y & g t ; & l t ; / D i a g r a m O b j e c t K e y & g t ; & l t ; D i a g r a m O b j e c t K e y & g t ; & l t ; K e y & g t ; C o l u m n s \ C o l u m n 3 5 0 & 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o l u m n 1 & l t ; / K e y & g t ; & l t ; / a : K e y & g t ; & l t ; a : V a l u e   i : t y p e = " M e a s u r e G r i d N o d e V i e w S t a t e " & g t ; & l t ; L a y e d O u t & g t ; t r u e & l t ; / L a y e d O u t & g t ; & l t ; / a : V a l u e & g t ; & l t ; / a : K e y V a l u e O f D i a g r a m O b j e c t K e y a n y T y p e z b w N T n L X & g t ; & l t ; a : K e y V a l u e O f D i a g r a m O b j e c t K e y a n y T y p e z b w N T n L X & g t ; & l t ; a : K e y & g t ; & l t ; K e y & g t ; C o l u m n s \ C o l u m n 2 & l t ; / K e y & g t ; & l t ; / a : K e y & g t ; & l t ; a : V a l u e   i : t y p e = " M e a s u r e G r i d N o d e V i e w S t a t e " & g t ; & l t ; C o l u m n & g t ; 1 & l t ; / C o l u m n & g t ; & l t ; L a y e d O u t & g t ; t r u e & l t ; / L a y e d O u t & g t ; & l t ; / a : V a l u e & g t ; & l t ; / a : K e y V a l u e O f D i a g r a m O b j e c t K e y a n y T y p e z b w N T n L X & g t ; & l t ; a : K e y V a l u e O f D i a g r a m O b j e c t K e y a n y T y p e z b w N T n L X & g t ; & l t ; a : K e y & g t ; & l t ; K e y & g t ; C o l u m n s \ C o l u m n 3 & l t ; / K e y & g t ; & l t ; / a : K e y & g t ; & l t ; a : V a l u e   i : t y p e = " M e a s u r e G r i d N o d e V i e w S t a t e " & g t ; & l t ; C o l u m n & g t ; 2 & l t ; / C o l u m n & g t ; & l t ; L a y e d O u t & g t ; t r u e & l t ; / L a y e d O u t & g t ; & l t ; / a : V a l u e & g t ; & l t ; / a : K e y V a l u e O f D i a g r a m O b j e c t K e y a n y T y p e z b w N T n L X & g t ; & l t ; a : K e y V a l u e O f D i a g r a m O b j e c t K e y a n y T y p e z b w N T n L X & g t ; & l t ; a : K e y & g t ; & l t ; K e y & g t ; C o l u m n s \ C o l u m n 4 & l t ; / K e y & g t ; & l t ; / a : K e y & g t ; & l t ; a : V a l u e   i : t y p e = " M e a s u r e G r i d N o d e V i e w S t a t e " & g t ; & l t ; C o l u m n & g t ; 3 & l t ; / C o l u m n & g t ; & l t ; L a y e d O u t & g t ; t r u e & l t ; / L a y e d O u t & g t ; & l t ; / a : V a l u e & g t ; & l t ; / a : K e y V a l u e O f D i a g r a m O b j e c t K e y a n y T y p e z b w N T n L X & g t ; & l t ; a : K e y V a l u e O f D i a g r a m O b j e c t K e y a n y T y p e z b w N T n L X & g t ; & l t ; a : K e y & g t ; & l t ; K e y & g t ; C o l u m n s \ C o l u m n 5 & l t ; / K e y & g t ; & l t ; / a : K e y & g t ; & l t ; a : V a l u e   i : t y p e = " M e a s u r e G r i d N o d e V i e w S t a t e " & g t ; & l t ; C o l u m n & g t ; 4 & l t ; / C o l u m n & g t ; & l t ; L a y e d O u t & g t ; t r u e & l t ; / L a y e d O u t & g t ; & l t ; / a : V a l u e & g t ; & l t ; / a : K e y V a l u e O f D i a g r a m O b j e c t K e y a n y T y p e z b w N T n L X & g t ; & l t ; a : K e y V a l u e O f D i a g r a m O b j e c t K e y a n y T y p e z b w N T n L X & g t ; & l t ; a : K e y & g t ; & l t ; K e y & g t ; C o l u m n s \ C o l u m n 6 & l t ; / K e y & g t ; & l t ; / a : K e y & g t ; & l t ; a : V a l u e   i : t y p e = " M e a s u r e G r i d N o d e V i e w S t a t e " & g t ; & l t ; C o l u m n & g t ; 5 & l t ; / C o l u m n & g t ; & l t ; L a y e d O u t & g t ; t r u e & l t ; / L a y e d O u t & g t ; & l t ; / a : V a l u e & g t ; & l t ; / a : K e y V a l u e O f D i a g r a m O b j e c t K e y a n y T y p e z b w N T n L X & g t ; & l t ; a : K e y V a l u e O f D i a g r a m O b j e c t K e y a n y T y p e z b w N T n L X & g t ; & l t ; a : K e y & g t ; & l t ; K e y & g t ; C o l u m n s \ C o l u m n 7 & l t ; / K e y & g t ; & l t ; / a : K e y & g t ; & l t ; a : V a l u e   i : t y p e = " M e a s u r e G r i d N o d e V i e w S t a t e " & g t ; & l t ; C o l u m n & g t ; 6 & l t ; / C o l u m n & g t ; & l t ; L a y e d O u t & g t ; t r u e & l t ; / L a y e d O u t & g t ; & l t ; / a : V a l u e & g t ; & l t ; / a : K e y V a l u e O f D i a g r a m O b j e c t K e y a n y T y p e z b w N T n L X & g t ; & l t ; a : K e y V a l u e O f D i a g r a m O b j e c t K e y a n y T y p e z b w N T n L X & g t ; & l t ; a : K e y & g t ; & l t ; K e y & g t ; C o l u m n s \ C o l u m n 8 & l t ; / K e y & g t ; & l t ; / a : K e y & g t ; & l t ; a : V a l u e   i : t y p e = " M e a s u r e G r i d N o d e V i e w S t a t e " & g t ; & l t ; C o l u m n & g t ; 7 & l t ; / C o l u m n & g t ; & l t ; L a y e d O u t & g t ; t r u e & l t ; / L a y e d O u t & g t ; & l t ; / a : V a l u e & g t ; & l t ; / a : K e y V a l u e O f D i a g r a m O b j e c t K e y a n y T y p e z b w N T n L X & g t ; & l t ; a : K e y V a l u e O f D i a g r a m O b j e c t K e y a n y T y p e z b w N T n L X & g t ; & l t ; a : K e y & g t ; & l t ; K e y & g t ; C o l u m n s \ C o l u m n 9 & l t ; / K e y & g t ; & l t ; / a : K e y & g t ; & l t ; a : V a l u e   i : t y p e = " M e a s u r e G r i d N o d e V i e w S t a t e " & g t ; & l t ; C o l u m n & g t ; 8 & l t ; / C o l u m n & g t ; & l t ; L a y e d O u t & g t ; t r u e & l t ; / L a y e d O u t & g t ; & l t ; / a : V a l u e & g t ; & l t ; / a : K e y V a l u e O f D i a g r a m O b j e c t K e y a n y T y p e z b w N T n L X & g t ; & l t ; a : K e y V a l u e O f D i a g r a m O b j e c t K e y a n y T y p e z b w N T n L X & g t ; & l t ; a : K e y & g t ; & l t ; K e y & g t ; C o l u m n s \ C o l u m n 1 0 & l t ; / K e y & g t ; & l t ; / a : K e y & g t ; & l t ; a : V a l u e   i : t y p e = " M e a s u r e G r i d N o d e V i e w S t a t e " & g t ; & l t ; C o l u m n & g t ; 9 & l t ; / C o l u m n & g t ; & l t ; L a y e d O u t & g t ; t r u e & l t ; / L a y e d O u t & g t ; & l t ; / a : V a l u e & g t ; & l t ; / a : K e y V a l u e O f D i a g r a m O b j e c t K e y a n y T y p e z b w N T n L X & g t ; & l t ; a : K e y V a l u e O f D i a g r a m O b j e c t K e y a n y T y p e z b w N T n L X & g t ; & l t ; a : K e y & g t ; & l t ; K e y & g t ; C o l u m n s \ C o l u m n 1 1 & l t ; / K e y & g t ; & l t ; / a : K e y & g t ; & l t ; a : V a l u e   i : t y p e = " M e a s u r e G r i d N o d e V i e w S t a t e " & g t ; & l t ; C o l u m n & g t ; 1 0 & l t ; / C o l u m n & g t ; & l t ; L a y e d O u t & g t ; t r u e & l t ; / L a y e d O u t & g t ; & l t ; / a : V a l u e & g t ; & l t ; / a : K e y V a l u e O f D i a g r a m O b j e c t K e y a n y T y p e z b w N T n L X & g t ; & l t ; a : K e y V a l u e O f D i a g r a m O b j e c t K e y a n y T y p e z b w N T n L X & g t ; & l t ; a : K e y & g t ; & l t ; K e y & g t ; C o l u m n s \ C o l u m n 1 2 & l t ; / K e y & g t ; & l t ; / a : K e y & g t ; & l t ; a : V a l u e   i : t y p e = " M e a s u r e G r i d N o d e V i e w S t a t e " & g t ; & l t ; C o l u m n & g t ; 1 1 & l t ; / C o l u m n & g t ; & l t ; L a y e d O u t & g t ; t r u e & l t ; / L a y e d O u t & g t ; & l t ; / a : V a l u e & g t ; & l t ; / a : K e y V a l u e O f D i a g r a m O b j e c t K e y a n y T y p e z b w N T n L X & g t ; & l t ; a : K e y V a l u e O f D i a g r a m O b j e c t K e y a n y T y p e z b w N T n L X & g t ; & l t ; a : K e y & g t ; & l t ; K e y & g t ; C o l u m n s \ C o l u m n 1 3 & l t ; / K e y & g t ; & l t ; / a : K e y & g t ; & l t ; a : V a l u e   i : t y p e = " M e a s u r e G r i d N o d e V i e w S t a t e " & g t ; & l t ; C o l u m n & g t ; 1 2 & l t ; / C o l u m n & g t ; & l t ; L a y e d O u t & g t ; t r u e & l t ; / L a y e d O u t & g t ; & l t ; / a : V a l u e & g t ; & l t ; / a : K e y V a l u e O f D i a g r a m O b j e c t K e y a n y T y p e z b w N T n L X & g t ; & l t ; a : K e y V a l u e O f D i a g r a m O b j e c t K e y a n y T y p e z b w N T n L X & g t ; & l t ; a : K e y & g t ; & l t ; K e y & g t ; C o l u m n s \ C o l u m n 1 4 & l t ; / K e y & g t ; & l t ; / a : K e y & g t ; & l t ; a : V a l u e   i : t y p e = " M e a s u r e G r i d N o d e V i e w S t a t e " & g t ; & l t ; C o l u m n & g t ; 1 3 & l t ; / C o l u m n & g t ; & l t ; L a y e d O u t & g t ; t r u e & l t ; / L a y e d O u t & g t ; & l t ; / a : V a l u e & g t ; & l t ; / a : K e y V a l u e O f D i a g r a m O b j e c t K e y a n y T y p e z b w N T n L X & g t ; & l t ; a : K e y V a l u e O f D i a g r a m O b j e c t K e y a n y T y p e z b w N T n L X & g t ; & l t ; a : K e y & g t ; & l t ; K e y & g t ; C o l u m n s \ C o l u m n 1 5 & l t ; / K e y & g t ; & l t ; / a : K e y & g t ; & l t ; a : V a l u e   i : t y p e = " M e a s u r e G r i d N o d e V i e w S t a t e " & g t ; & l t ; C o l u m n & g t ; 1 4 & l t ; / C o l u m n & g t ; & l t ; L a y e d O u t & g t ; t r u e & l t ; / L a y e d O u t & g t ; & l t ; / a : V a l u e & g t ; & l t ; / a : K e y V a l u e O f D i a g r a m O b j e c t K e y a n y T y p e z b w N T n L X & g t ; & l t ; a : K e y V a l u e O f D i a g r a m O b j e c t K e y a n y T y p e z b w N T n L X & g t ; & l t ; a : K e y & g t ; & l t ; K e y & g t ; C o l u m n s \ C o l u m n 1 6 & l t ; / K e y & g t ; & l t ; / a : K e y & g t ; & l t ; a : V a l u e   i : t y p e = " M e a s u r e G r i d N o d e V i e w S t a t e " & g t ; & l t ; C o l u m n & g t ; 1 5 & l t ; / C o l u m n & g t ; & l t ; L a y e d O u t & g t ; t r u e & l t ; / L a y e d O u t & g t ; & l t ; / a : V a l u e & g t ; & l t ; / a : K e y V a l u e O f D i a g r a m O b j e c t K e y a n y T y p e z b w N T n L X & g t ; & l t ; a : K e y V a l u e O f D i a g r a m O b j e c t K e y a n y T y p e z b w N T n L X & g t ; & l t ; a : K e y & g t ; & l t ; K e y & g t ; C o l u m n s \ C o l u m n 1 7 & l t ; / K e y & g t ; & l t ; / a : K e y & g t ; & l t ; a : V a l u e   i : t y p e = " M e a s u r e G r i d N o d e V i e w S t a t e " & g t ; & l t ; C o l u m n & g t ; 1 6 & l t ; / C o l u m n & g t ; & l t ; L a y e d O u t & g t ; t r u e & l t ; / L a y e d O u t & g t ; & l t ; / a : V a l u e & g t ; & l t ; / a : K e y V a l u e O f D i a g r a m O b j e c t K e y a n y T y p e z b w N T n L X & g t ; & l t ; a : K e y V a l u e O f D i a g r a m O b j e c t K e y a n y T y p e z b w N T n L X & g t ; & l t ; a : K e y & g t ; & l t ; K e y & g t ; C o l u m n s \ C o l u m n 1 8 & l t ; / K e y & g t ; & l t ; / a : K e y & g t ; & l t ; a : V a l u e   i : t y p e = " M e a s u r e G r i d N o d e V i e w S t a t e " & g t ; & l t ; C o l u m n & g t ; 1 7 & l t ; / C o l u m n & g t ; & l t ; L a y e d O u t & g t ; t r u e & l t ; / L a y e d O u t & g t ; & l t ; / a : V a l u e & g t ; & l t ; / a : K e y V a l u e O f D i a g r a m O b j e c t K e y a n y T y p e z b w N T n L X & g t ; & l t ; a : K e y V a l u e O f D i a g r a m O b j e c t K e y a n y T y p e z b w N T n L X & g t ; & l t ; a : K e y & g t ; & l t ; K e y & g t ; C o l u m n s \ C o l u m n 1 9 & l t ; / K e y & g t ; & l t ; / a : K e y & g t ; & l t ; a : V a l u e   i : t y p e = " M e a s u r e G r i d N o d e V i e w S t a t e " & g t ; & l t ; C o l u m n & g t ; 1 8 & l t ; / C o l u m n & g t ; & l t ; L a y e d O u t & g t ; t r u e & l t ; / L a y e d O u t & g t ; & l t ; / a : V a l u e & g t ; & l t ; / a : K e y V a l u e O f D i a g r a m O b j e c t K e y a n y T y p e z b w N T n L X & g t ; & l t ; a : K e y V a l u e O f D i a g r a m O b j e c t K e y a n y T y p e z b w N T n L X & g t ; & l t ; a : K e y & g t ; & l t ; K e y & g t ; C o l u m n s \ C o l u m n 2 0 & l t ; / K e y & g t ; & l t ; / a : K e y & g t ; & l t ; a : V a l u e   i : t y p e = " M e a s u r e G r i d N o d e V i e w S t a t e " & g t ; & l t ; C o l u m n & g t ; 1 9 & l t ; / C o l u m n & g t ; & l t ; L a y e d O u t & g t ; t r u e & l t ; / L a y e d O u t & g t ; & l t ; / a : V a l u e & g t ; & l t ; / a : K e y V a l u e O f D i a g r a m O b j e c t K e y a n y T y p e z b w N T n L X & g t ; & l t ; a : K e y V a l u e O f D i a g r a m O b j e c t K e y a n y T y p e z b w N T n L X & g t ; & l t ; a : K e y & g t ; & l t ; K e y & g t ; C o l u m n s \ C o l u m n 2 1 & l t ; / K e y & g t ; & l t ; / a : K e y & g t ; & l t ; a : V a l u e   i : t y p e = " M e a s u r e G r i d N o d e V i e w S t a t e " & g t ; & l t ; C o l u m n & g t ; 2 0 & l t ; / C o l u m n & g t ; & l t ; L a y e d O u t & g t ; t r u e & l t ; / L a y e d O u t & g t ; & l t ; / a : V a l u e & g t ; & l t ; / a : K e y V a l u e O f D i a g r a m O b j e c t K e y a n y T y p e z b w N T n L X & g t ; & l t ; a : K e y V a l u e O f D i a g r a m O b j e c t K e y a n y T y p e z b w N T n L X & g t ; & l t ; a : K e y & g t ; & l t ; K e y & g t ; C o l u m n s \ C o l u m n 2 2 & l t ; / K e y & g t ; & l t ; / a : K e y & g t ; & l t ; a : V a l u e   i : t y p e = " M e a s u r e G r i d N o d e V i e w S t a t e " & g t ; & l t ; C o l u m n & g t ; 2 1 & l t ; / C o l u m n & g t ; & l t ; L a y e d O u t & g t ; t r u e & l t ; / L a y e d O u t & g t ; & l t ; / a : V a l u e & g t ; & l t ; / a : K e y V a l u e O f D i a g r a m O b j e c t K e y a n y T y p e z b w N T n L X & g t ; & l t ; a : K e y V a l u e O f D i a g r a m O b j e c t K e y a n y T y p e z b w N T n L X & g t ; & l t ; a : K e y & g t ; & l t ; K e y & g t ; C o l u m n s \ C o l u m n 2 3 & l t ; / K e y & g t ; & l t ; / a : K e y & g t ; & l t ; a : V a l u e   i : t y p e = " M e a s u r e G r i d N o d e V i e w S t a t e " & g t ; & l t ; C o l u m n & g t ; 2 2 & l t ; / C o l u m n & g t ; & l t ; L a y e d O u t & g t ; t r u e & l t ; / L a y e d O u t & g t ; & l t ; / a : V a l u e & g t ; & l t ; / a : K e y V a l u e O f D i a g r a m O b j e c t K e y a n y T y p e z b w N T n L X & g t ; & l t ; a : K e y V a l u e O f D i a g r a m O b j e c t K e y a n y T y p e z b w N T n L X & g t ; & l t ; a : K e y & g t ; & l t ; K e y & g t ; C o l u m n s \ C o l u m n 2 4 & l t ; / K e y & g t ; & l t ; / a : K e y & g t ; & l t ; a : V a l u e   i : t y p e = " M e a s u r e G r i d N o d e V i e w S t a t e " & g t ; & l t ; C o l u m n & g t ; 2 3 & l t ; / C o l u m n & g t ; & l t ; L a y e d O u t & g t ; t r u e & l t ; / L a y e d O u t & g t ; & l t ; / a : V a l u e & g t ; & l t ; / a : K e y V a l u e O f D i a g r a m O b j e c t K e y a n y T y p e z b w N T n L X & g t ; & l t ; a : K e y V a l u e O f D i a g r a m O b j e c t K e y a n y T y p e z b w N T n L X & g t ; & l t ; a : K e y & g t ; & l t ; K e y & g t ; C o l u m n s \ C o l u m n 2 5 & l t ; / K e y & g t ; & l t ; / a : K e y & g t ; & l t ; a : V a l u e   i : t y p e = " M e a s u r e G r i d N o d e V i e w S t a t e " & g t ; & l t ; C o l u m n & g t ; 2 4 & l t ; / C o l u m n & g t ; & l t ; L a y e d O u t & g t ; t r u e & l t ; / L a y e d O u t & g t ; & l t ; / a : V a l u e & g t ; & l t ; / a : K e y V a l u e O f D i a g r a m O b j e c t K e y a n y T y p e z b w N T n L X & g t ; & l t ; a : K e y V a l u e O f D i a g r a m O b j e c t K e y a n y T y p e z b w N T n L X & g t ; & l t ; a : K e y & g t ; & l t ; K e y & g t ; C o l u m n s \ C o l u m n 2 6 & l t ; / K e y & g t ; & l t ; / a : K e y & g t ; & l t ; a : V a l u e   i : t y p e = " M e a s u r e G r i d N o d e V i e w S t a t e " & g t ; & l t ; C o l u m n & g t ; 2 5 & l t ; / C o l u m n & g t ; & l t ; L a y e d O u t & g t ; t r u e & l t ; / L a y e d O u t & g t ; & l t ; / a : V a l u e & g t ; & l t ; / a : K e y V a l u e O f D i a g r a m O b j e c t K e y a n y T y p e z b w N T n L X & g t ; & l t ; a : K e y V a l u e O f D i a g r a m O b j e c t K e y a n y T y p e z b w N T n L X & g t ; & l t ; a : K e y & g t ; & l t ; K e y & g t ; C o l u m n s \ C o l u m n 2 7 & l t ; / K e y & g t ; & l t ; / a : K e y & g t ; & l t ; a : V a l u e   i : t y p e = " M e a s u r e G r i d N o d e V i e w S t a t e " & g t ; & l t ; C o l u m n & g t ; 2 6 & l t ; / C o l u m n & g t ; & l t ; L a y e d O u t & g t ; t r u e & l t ; / L a y e d O u t & g t ; & l t ; / a : V a l u e & g t ; & l t ; / a : K e y V a l u e O f D i a g r a m O b j e c t K e y a n y T y p e z b w N T n L X & g t ; & l t ; a : K e y V a l u e O f D i a g r a m O b j e c t K e y a n y T y p e z b w N T n L X & g t ; & l t ; a : K e y & g t ; & l t ; K e y & g t ; C o l u m n s \ C o l u m n 2 8 & l t ; / K e y & g t ; & l t ; / a : K e y & g t ; & l t ; a : V a l u e   i : t y p e = " M e a s u r e G r i d N o d e V i e w S t a t e " & g t ; & l t ; C o l u m n & g t ; 2 7 & l t ; / C o l u m n & g t ; & l t ; L a y e d O u t & g t ; t r u e & l t ; / L a y e d O u t & g t ; & l t ; / a : V a l u e & g t ; & l t ; / a : K e y V a l u e O f D i a g r a m O b j e c t K e y a n y T y p e z b w N T n L X & g t ; & l t ; a : K e y V a l u e O f D i a g r a m O b j e c t K e y a n y T y p e z b w N T n L X & g t ; & l t ; a : K e y & g t ; & l t ; K e y & g t ; C o l u m n s \ C o l u m n 2 9 & l t ; / K e y & g t ; & l t ; / a : K e y & g t ; & l t ; a : V a l u e   i : t y p e = " M e a s u r e G r i d N o d e V i e w S t a t e " & g t ; & l t ; C o l u m n & g t ; 2 8 & l t ; / C o l u m n & g t ; & l t ; L a y e d O u t & g t ; t r u e & l t ; / L a y e d O u t & g t ; & l t ; / a : V a l u e & g t ; & l t ; / a : K e y V a l u e O f D i a g r a m O b j e c t K e y a n y T y p e z b w N T n L X & g t ; & l t ; a : K e y V a l u e O f D i a g r a m O b j e c t K e y a n y T y p e z b w N T n L X & g t ; & l t ; a : K e y & g t ; & l t ; K e y & g t ; C o l u m n s \ C o l u m n 3 0 & l t ; / K e y & g t ; & l t ; / a : K e y & g t ; & l t ; a : V a l u e   i : t y p e = " M e a s u r e G r i d N o d e V i e w S t a t e " & g t ; & l t ; C o l u m n & g t ; 2 9 & l t ; / C o l u m n & g t ; & l t ; L a y e d O u t & g t ; t r u e & l t ; / L a y e d O u t & g t ; & l t ; / a : V a l u e & g t ; & l t ; / a : K e y V a l u e O f D i a g r a m O b j e c t K e y a n y T y p e z b w N T n L X & g t ; & l t ; a : K e y V a l u e O f D i a g r a m O b j e c t K e y a n y T y p e z b w N T n L X & g t ; & l t ; a : K e y & g t ; & l t ; K e y & g t ; C o l u m n s \ C o l u m n 3 1 & l t ; / K e y & g t ; & l t ; / a : K e y & g t ; & l t ; a : V a l u e   i : t y p e = " M e a s u r e G r i d N o d e V i e w S t a t e " & g t ; & l t ; C o l u m n & g t ; 3 0 & l t ; / C o l u m n & g t ; & l t ; L a y e d O u t & g t ; t r u e & l t ; / L a y e d O u t & g t ; & l t ; / a : V a l u e & g t ; & l t ; / a : K e y V a l u e O f D i a g r a m O b j e c t K e y a n y T y p e z b w N T n L X & g t ; & l t ; a : K e y V a l u e O f D i a g r a m O b j e c t K e y a n y T y p e z b w N T n L X & g t ; & l t ; a : K e y & g t ; & l t ; K e y & g t ; C o l u m n s \ C o l u m n 3 2 & l t ; / K e y & g t ; & l t ; / a : K e y & g t ; & l t ; a : V a l u e   i : t y p e = " M e a s u r e G r i d N o d e V i e w S t a t e " & g t ; & l t ; C o l u m n & g t ; 3 1 & l t ; / C o l u m n & g t ; & l t ; L a y e d O u t & g t ; t r u e & l t ; / L a y e d O u t & g t ; & l t ; / a : V a l u e & g t ; & l t ; / a : K e y V a l u e O f D i a g r a m O b j e c t K e y a n y T y p e z b w N T n L X & g t ; & l t ; a : K e y V a l u e O f D i a g r a m O b j e c t K e y a n y T y p e z b w N T n L X & g t ; & l t ; a : K e y & g t ; & l t ; K e y & g t ; C o l u m n s \ C o l u m n 3 3 & l t ; / K e y & g t ; & l t ; / a : K e y & g t ; & l t ; a : V a l u e   i : t y p e = " M e a s u r e G r i d N o d e V i e w S t a t e " & g t ; & l t ; C o l u m n & g t ; 3 2 & l t ; / C o l u m n & g t ; & l t ; L a y e d O u t & g t ; t r u e & l t ; / L a y e d O u t & g t ; & l t ; / a : V a l u e & g t ; & l t ; / a : K e y V a l u e O f D i a g r a m O b j e c t K e y a n y T y p e z b w N T n L X & g t ; & l t ; a : K e y V a l u e O f D i a g r a m O b j e c t K e y a n y T y p e z b w N T n L X & g t ; & l t ; a : K e y & g t ; & l t ; K e y & g t ; C o l u m n s \ C o l u m n 3 4 & l t ; / K e y & g t ; & l t ; / a : K e y & g t ; & l t ; a : V a l u e   i : t y p e = " M e a s u r e G r i d N o d e V i e w S t a t e " & g t ; & l t ; C o l u m n & g t ; 3 3 & l t ; / C o l u m n & g t ; & l t ; L a y e d O u t & g t ; t r u e & l t ; / L a y e d O u t & g t ; & l t ; / a : V a l u e & g t ; & l t ; / a : K e y V a l u e O f D i a g r a m O b j e c t K e y a n y T y p e z b w N T n L X & g t ; & l t ; a : K e y V a l u e O f D i a g r a m O b j e c t K e y a n y T y p e z b w N T n L X & g t ; & l t ; a : K e y & g t ; & l t ; K e y & g t ; C o l u m n s \ C o l u m n 3 5 & l t ; / K e y & g t ; & l t ; / a : K e y & g t ; & l t ; a : V a l u e   i : t y p e = " M e a s u r e G r i d N o d e V i e w S t a t e " & g t ; & l t ; C o l u m n & g t ; 3 4 & l t ; / C o l u m n & g t ; & l t ; L a y e d O u t & g t ; t r u e & l t ; / L a y e d O u t & g t ; & l t ; / a : V a l u e & g t ; & l t ; / a : K e y V a l u e O f D i a g r a m O b j e c t K e y a n y T y p e z b w N T n L X & g t ; & l t ; a : K e y V a l u e O f D i a g r a m O b j e c t K e y a n y T y p e z b w N T n L X & g t ; & l t ; a : K e y & g t ; & l t ; K e y & g t ; C o l u m n s \ C o l u m n 3 6 & l t ; / K e y & g t ; & l t ; / a : K e y & g t ; & l t ; a : V a l u e   i : t y p e = " M e a s u r e G r i d N o d e V i e w S t a t e " & g t ; & l t ; C o l u m n & g t ; 3 5 & l t ; / C o l u m n & g t ; & l t ; L a y e d O u t & g t ; t r u e & l t ; / L a y e d O u t & g t ; & l t ; / a : V a l u e & g t ; & l t ; / a : K e y V a l u e O f D i a g r a m O b j e c t K e y a n y T y p e z b w N T n L X & g t ; & l t ; a : K e y V a l u e O f D i a g r a m O b j e c t K e y a n y T y p e z b w N T n L X & g t ; & l t ; a : K e y & g t ; & l t ; K e y & g t ; C o l u m n s \ C o l u m n 3 7 & l t ; / K e y & g t ; & l t ; / a : K e y & g t ; & l t ; a : V a l u e   i : t y p e = " M e a s u r e G r i d N o d e V i e w S t a t e " & g t ; & l t ; C o l u m n & g t ; 3 6 & l t ; / C o l u m n & g t ; & l t ; L a y e d O u t & g t ; t r u e & l t ; / L a y e d O u t & g t ; & l t ; / a : V a l u e & g t ; & l t ; / a : K e y V a l u e O f D i a g r a m O b j e c t K e y a n y T y p e z b w N T n L X & g t ; & l t ; a : K e y V a l u e O f D i a g r a m O b j e c t K e y a n y T y p e z b w N T n L X & g t ; & l t ; a : K e y & g t ; & l t ; K e y & g t ; C o l u m n s \ C o l u m n 3 8 & l t ; / K e y & g t ; & l t ; / a : K e y & g t ; & l t ; a : V a l u e   i : t y p e = " M e a s u r e G r i d N o d e V i e w S t a t e " & g t ; & l t ; C o l u m n & g t ; 3 7 & l t ; / C o l u m n & g t ; & l t ; L a y e d O u t & g t ; t r u e & l t ; / L a y e d O u t & g t ; & l t ; / a : V a l u e & g t ; & l t ; / a : K e y V a l u e O f D i a g r a m O b j e c t K e y a n y T y p e z b w N T n L X & g t ; & l t ; a : K e y V a l u e O f D i a g r a m O b j e c t K e y a n y T y p e z b w N T n L X & g t ; & l t ; a : K e y & g t ; & l t ; K e y & g t ; C o l u m n s \ C o l u m n 3 9 & l t ; / K e y & g t ; & l t ; / a : K e y & g t ; & l t ; a : V a l u e   i : t y p e = " M e a s u r e G r i d N o d e V i e w S t a t e " & g t ; & l t ; C o l u m n & g t ; 3 8 & l t ; / C o l u m n & g t ; & l t ; L a y e d O u t & g t ; t r u e & l t ; / L a y e d O u t & g t ; & l t ; / a : V a l u e & g t ; & l t ; / a : K e y V a l u e O f D i a g r a m O b j e c t K e y a n y T y p e z b w N T n L X & g t ; & l t ; a : K e y V a l u e O f D i a g r a m O b j e c t K e y a n y T y p e z b w N T n L X & g t ; & l t ; a : K e y & g t ; & l t ; K e y & g t ; C o l u m n s \ C o l u m n 4 0 & l t ; / K e y & g t ; & l t ; / a : K e y & g t ; & l t ; a : V a l u e   i : t y p e = " M e a s u r e G r i d N o d e V i e w S t a t e " & g t ; & l t ; C o l u m n & g t ; 3 9 & l t ; / C o l u m n & g t ; & l t ; L a y e d O u t & g t ; t r u e & l t ; / L a y e d O u t & g t ; & l t ; / a : V a l u e & g t ; & l t ; / a : K e y V a l u e O f D i a g r a m O b j e c t K e y a n y T y p e z b w N T n L X & g t ; & l t ; a : K e y V a l u e O f D i a g r a m O b j e c t K e y a n y T y p e z b w N T n L X & g t ; & l t ; a : K e y & g t ; & l t ; K e y & g t ; C o l u m n s \ C o l u m n 4 1 & l t ; / K e y & g t ; & l t ; / a : K e y & g t ; & l t ; a : V a l u e   i : t y p e = " M e a s u r e G r i d N o d e V i e w S t a t e " & g t ; & l t ; C o l u m n & g t ; 4 0 & l t ; / C o l u m n & g t ; & l t ; L a y e d O u t & g t ; t r u e & l t ; / L a y e d O u t & g t ; & l t ; / a : V a l u e & g t ; & l t ; / a : K e y V a l u e O f D i a g r a m O b j e c t K e y a n y T y p e z b w N T n L X & g t ; & l t ; a : K e y V a l u e O f D i a g r a m O b j e c t K e y a n y T y p e z b w N T n L X & g t ; & l t ; a : K e y & g t ; & l t ; K e y & g t ; C o l u m n s \ C o l u m n 4 2 & l t ; / K e y & g t ; & l t ; / a : K e y & g t ; & l t ; a : V a l u e   i : t y p e = " M e a s u r e G r i d N o d e V i e w S t a t e " & g t ; & l t ; C o l u m n & g t ; 4 1 & l t ; / C o l u m n & g t ; & l t ; L a y e d O u t & g t ; t r u e & l t ; / L a y e d O u t & g t ; & l t ; / a : V a l u e & g t ; & l t ; / a : K e y V a l u e O f D i a g r a m O b j e c t K e y a n y T y p e z b w N T n L X & g t ; & l t ; a : K e y V a l u e O f D i a g r a m O b j e c t K e y a n y T y p e z b w N T n L X & g t ; & l t ; a : K e y & g t ; & l t ; K e y & g t ; C o l u m n s \ C o l u m n 4 3 & l t ; / K e y & g t ; & l t ; / a : K e y & g t ; & l t ; a : V a l u e   i : t y p e = " M e a s u r e G r i d N o d e V i e w S t a t e " & g t ; & l t ; C o l u m n & g t ; 4 2 & l t ; / C o l u m n & g t ; & l t ; L a y e d O u t & g t ; t r u e & l t ; / L a y e d O u t & g t ; & l t ; / a : V a l u e & g t ; & l t ; / a : K e y V a l u e O f D i a g r a m O b j e c t K e y a n y T y p e z b w N T n L X & g t ; & l t ; a : K e y V a l u e O f D i a g r a m O b j e c t K e y a n y T y p e z b w N T n L X & g t ; & l t ; a : K e y & g t ; & l t ; K e y & g t ; C o l u m n s \ C o l u m n 4 4 & l t ; / K e y & g t ; & l t ; / a : K e y & g t ; & l t ; a : V a l u e   i : t y p e = " M e a s u r e G r i d N o d e V i e w S t a t e " & g t ; & l t ; C o l u m n & g t ; 4 3 & l t ; / C o l u m n & g t ; & l t ; L a y e d O u t & g t ; t r u e & l t ; / L a y e d O u t & g t ; & l t ; / a : V a l u e & g t ; & l t ; / a : K e y V a l u e O f D i a g r a m O b j e c t K e y a n y T y p e z b w N T n L X & g t ; & l t ; a : K e y V a l u e O f D i a g r a m O b j e c t K e y a n y T y p e z b w N T n L X & g t ; & l t ; a : K e y & g t ; & l t ; K e y & g t ; C o l u m n s \ C o l u m n 4 5 & l t ; / K e y & g t ; & l t ; / a : K e y & g t ; & l t ; a : V a l u e   i : t y p e = " M e a s u r e G r i d N o d e V i e w S t a t e " & g t ; & l t ; C o l u m n & g t ; 4 4 & l t ; / C o l u m n & g t ; & l t ; L a y e d O u t & g t ; t r u e & l t ; / L a y e d O u t & g t ; & l t ; / a : V a l u e & g t ; & l t ; / a : K e y V a l u e O f D i a g r a m O b j e c t K e y a n y T y p e z b w N T n L X & g t ; & l t ; a : K e y V a l u e O f D i a g r a m O b j e c t K e y a n y T y p e z b w N T n L X & g t ; & l t ; a : K e y & g t ; & l t ; K e y & g t ; C o l u m n s \ C o l u m n 4 6 & l t ; / K e y & g t ; & l t ; / a : K e y & g t ; & l t ; a : V a l u e   i : t y p e = " M e a s u r e G r i d N o d e V i e w S t a t e " & g t ; & l t ; C o l u m n & g t ; 4 5 & l t ; / C o l u m n & g t ; & l t ; L a y e d O u t & g t ; t r u e & l t ; / L a y e d O u t & g t ; & l t ; / a : V a l u e & g t ; & l t ; / a : K e y V a l u e O f D i a g r a m O b j e c t K e y a n y T y p e z b w N T n L X & g t ; & l t ; a : K e y V a l u e O f D i a g r a m O b j e c t K e y a n y T y p e z b w N T n L X & g t ; & l t ; a : K e y & g t ; & l t ; K e y & g t ; C o l u m n s \ C o l u m n 4 7 & l t ; / K e y & g t ; & l t ; / a : K e y & g t ; & l t ; a : V a l u e   i : t y p e = " M e a s u r e G r i d N o d e V i e w S t a t e " & g t ; & l t ; C o l u m n & g t ; 4 6 & l t ; / C o l u m n & g t ; & l t ; L a y e d O u t & g t ; t r u e & l t ; / L a y e d O u t & g t ; & l t ; / a : V a l u e & g t ; & l t ; / a : K e y V a l u e O f D i a g r a m O b j e c t K e y a n y T y p e z b w N T n L X & g t ; & l t ; a : K e y V a l u e O f D i a g r a m O b j e c t K e y a n y T y p e z b w N T n L X & g t ; & l t ; a : K e y & g t ; & l t ; K e y & g t ; C o l u m n s \ C o l u m n 4 8 & l t ; / K e y & g t ; & l t ; / a : K e y & g t ; & l t ; a : V a l u e   i : t y p e = " M e a s u r e G r i d N o d e V i e w S t a t e " & g t ; & l t ; C o l u m n & g t ; 4 7 & l t ; / C o l u m n & g t ; & l t ; L a y e d O u t & g t ; t r u e & l t ; / L a y e d O u t & g t ; & l t ; / a : V a l u e & g t ; & l t ; / a : K e y V a l u e O f D i a g r a m O b j e c t K e y a n y T y p e z b w N T n L X & g t ; & l t ; a : K e y V a l u e O f D i a g r a m O b j e c t K e y a n y T y p e z b w N T n L X & g t ; & l t ; a : K e y & g t ; & l t ; K e y & g t ; C o l u m n s \ C o l u m n 4 9 & l t ; / K e y & g t ; & l t ; / a : K e y & g t ; & l t ; a : V a l u e   i : t y p e = " M e a s u r e G r i d N o d e V i e w S t a t e " & g t ; & l t ; C o l u m n & g t ; 4 8 & l t ; / C o l u m n & g t ; & l t ; L a y e d O u t & g t ; t r u e & l t ; / L a y e d O u t & g t ; & l t ; / a : V a l u e & g t ; & l t ; / a : K e y V a l u e O f D i a g r a m O b j e c t K e y a n y T y p e z b w N T n L X & g t ; & l t ; a : K e y V a l u e O f D i a g r a m O b j e c t K e y a n y T y p e z b w N T n L X & g t ; & l t ; a : K e y & g t ; & l t ; K e y & g t ; C o l u m n s \ C o l u m n 5 0 & l t ; / K e y & g t ; & l t ; / a : K e y & g t ; & l t ; a : V a l u e   i : t y p e = " M e a s u r e G r i d N o d e V i e w S t a t e " & g t ; & l t ; C o l u m n & g t ; 4 9 & l t ; / C o l u m n & g t ; & l t ; L a y e d O u t & g t ; t r u e & l t ; / L a y e d O u t & g t ; & l t ; / a : V a l u e & g t ; & l t ; / a : K e y V a l u e O f D i a g r a m O b j e c t K e y a n y T y p e z b w N T n L X & g t ; & l t ; a : K e y V a l u e O f D i a g r a m O b j e c t K e y a n y T y p e z b w N T n L X & g t ; & l t ; a : K e y & g t ; & l t ; K e y & g t ; C o l u m n s \ C o l u m n 5 1 & l t ; / K e y & g t ; & l t ; / a : K e y & g t ; & l t ; a : V a l u e   i : t y p e = " M e a s u r e G r i d N o d e V i e w S t a t e " & g t ; & l t ; C o l u m n & g t ; 5 0 & l t ; / C o l u m n & g t ; & l t ; L a y e d O u t & g t ; t r u e & l t ; / L a y e d O u t & g t ; & l t ; / a : V a l u e & g t ; & l t ; / a : K e y V a l u e O f D i a g r a m O b j e c t K e y a n y T y p e z b w N T n L X & g t ; & l t ; a : K e y V a l u e O f D i a g r a m O b j e c t K e y a n y T y p e z b w N T n L X & g t ; & l t ; a : K e y & g t ; & l t ; K e y & g t ; C o l u m n s \ C o l u m n 5 2 & l t ; / K e y & g t ; & l t ; / a : K e y & g t ; & l t ; a : V a l u e   i : t y p e = " M e a s u r e G r i d N o d e V i e w S t a t e " & g t ; & l t ; C o l u m n & g t ; 5 1 & l t ; / C o l u m n & g t ; & l t ; L a y e d O u t & g t ; t r u e & l t ; / L a y e d O u t & g t ; & l t ; / a : V a l u e & g t ; & l t ; / a : K e y V a l u e O f D i a g r a m O b j e c t K e y a n y T y p e z b w N T n L X & g t ; & l t ; a : K e y V a l u e O f D i a g r a m O b j e c t K e y a n y T y p e z b w N T n L X & g t ; & l t ; a : K e y & g t ; & l t ; K e y & g t ; C o l u m n s \ C o l u m n 5 3 & l t ; / K e y & g t ; & l t ; / a : K e y & g t ; & l t ; a : V a l u e   i : t y p e = " M e a s u r e G r i d N o d e V i e w S t a t e " & g t ; & l t ; C o l u m n & g t ; 5 2 & l t ; / C o l u m n & g t ; & l t ; L a y e d O u t & g t ; t r u e & l t ; / L a y e d O u t & g t ; & l t ; / a : V a l u e & g t ; & l t ; / a : K e y V a l u e O f D i a g r a m O b j e c t K e y a n y T y p e z b w N T n L X & g t ; & l t ; a : K e y V a l u e O f D i a g r a m O b j e c t K e y a n y T y p e z b w N T n L X & g t ; & l t ; a : K e y & g t ; & l t ; K e y & g t ; C o l u m n s \ C o l u m n 5 4 & l t ; / K e y & g t ; & l t ; / a : K e y & g t ; & l t ; a : V a l u e   i : t y p e = " M e a s u r e G r i d N o d e V i e w S t a t e " & g t ; & l t ; C o l u m n & g t ; 5 3 & l t ; / C o l u m n & g t ; & l t ; L a y e d O u t & g t ; t r u e & l t ; / L a y e d O u t & g t ; & l t ; / a : V a l u e & g t ; & l t ; / a : K e y V a l u e O f D i a g r a m O b j e c t K e y a n y T y p e z b w N T n L X & g t ; & l t ; a : K e y V a l u e O f D i a g r a m O b j e c t K e y a n y T y p e z b w N T n L X & g t ; & l t ; a : K e y & g t ; & l t ; K e y & g t ; C o l u m n s \ C o l u m n 5 5 & l t ; / K e y & g t ; & l t ; / a : K e y & g t ; & l t ; a : V a l u e   i : t y p e = " M e a s u r e G r i d N o d e V i e w S t a t e " & g t ; & l t ; C o l u m n & g t ; 5 4 & l t ; / C o l u m n & g t ; & l t ; L a y e d O u t & g t ; t r u e & l t ; / L a y e d O u t & g t ; & l t ; / a : V a l u e & g t ; & l t ; / a : K e y V a l u e O f D i a g r a m O b j e c t K e y a n y T y p e z b w N T n L X & g t ; & l t ; a : K e y V a l u e O f D i a g r a m O b j e c t K e y a n y T y p e z b w N T n L X & g t ; & l t ; a : K e y & g t ; & l t ; K e y & g t ; C o l u m n s \ C o l u m n 5 6 & l t ; / K e y & g t ; & l t ; / a : K e y & g t ; & l t ; a : V a l u e   i : t y p e = " M e a s u r e G r i d N o d e V i e w S t a t e " & g t ; & l t ; C o l u m n & g t ; 5 5 & l t ; / C o l u m n & g t ; & l t ; L a y e d O u t & g t ; t r u e & l t ; / L a y e d O u t & g t ; & l t ; / a : V a l u e & g t ; & l t ; / a : K e y V a l u e O f D i a g r a m O b j e c t K e y a n y T y p e z b w N T n L X & g t ; & l t ; a : K e y V a l u e O f D i a g r a m O b j e c t K e y a n y T y p e z b w N T n L X & g t ; & l t ; a : K e y & g t ; & l t ; K e y & g t ; C o l u m n s \ C o l u m n 5 7 & l t ; / K e y & g t ; & l t ; / a : K e y & g t ; & l t ; a : V a l u e   i : t y p e = " M e a s u r e G r i d N o d e V i e w S t a t e " & g t ; & l t ; C o l u m n & g t ; 5 6 & l t ; / C o l u m n & g t ; & l t ; L a y e d O u t & g t ; t r u e & l t ; / L a y e d O u t & g t ; & l t ; / a : V a l u e & g t ; & l t ; / a : K e y V a l u e O f D i a g r a m O b j e c t K e y a n y T y p e z b w N T n L X & g t ; & l t ; a : K e y V a l u e O f D i a g r a m O b j e c t K e y a n y T y p e z b w N T n L X & g t ; & l t ; a : K e y & g t ; & l t ; K e y & g t ; C o l u m n s \ C o l u m n 5 8 & l t ; / K e y & g t ; & l t ; / a : K e y & g t ; & l t ; a : V a l u e   i : t y p e = " M e a s u r e G r i d N o d e V i e w S t a t e " & g t ; & l t ; C o l u m n & g t ; 5 7 & l t ; / C o l u m n & g t ; & l t ; L a y e d O u t & g t ; t r u e & l t ; / L a y e d O u t & g t ; & l t ; / a : V a l u e & g t ; & l t ; / a : K e y V a l u e O f D i a g r a m O b j e c t K e y a n y T y p e z b w N T n L X & g t ; & l t ; a : K e y V a l u e O f D i a g r a m O b j e c t K e y a n y T y p e z b w N T n L X & g t ; & l t ; a : K e y & g t ; & l t ; K e y & g t ; C o l u m n s \ C o l u m n 5 9 & l t ; / K e y & g t ; & l t ; / a : K e y & g t ; & l t ; a : V a l u e   i : t y p e = " M e a s u r e G r i d N o d e V i e w S t a t e " & g t ; & l t ; C o l u m n & g t ; 5 8 & l t ; / C o l u m n & g t ; & l t ; L a y e d O u t & g t ; t r u e & l t ; / L a y e d O u t & g t ; & l t ; / a : V a l u e & g t ; & l t ; / a : K e y V a l u e O f D i a g r a m O b j e c t K e y a n y T y p e z b w N T n L X & g t ; & l t ; a : K e y V a l u e O f D i a g r a m O b j e c t K e y a n y T y p e z b w N T n L X & g t ; & l t ; a : K e y & g t ; & l t ; K e y & g t ; C o l u m n s \ C o l u m n 6 0 & l t ; / K e y & g t ; & l t ; / a : K e y & g t ; & l t ; a : V a l u e   i : t y p e = " M e a s u r e G r i d N o d e V i e w S t a t e " & g t ; & l t ; C o l u m n & g t ; 5 9 & l t ; / C o l u m n & g t ; & l t ; L a y e d O u t & g t ; t r u e & l t ; / L a y e d O u t & g t ; & l t ; / a : V a l u e & g t ; & l t ; / a : K e y V a l u e O f D i a g r a m O b j e c t K e y a n y T y p e z b w N T n L X & g t ; & l t ; a : K e y V a l u e O f D i a g r a m O b j e c t K e y a n y T y p e z b w N T n L X & g t ; & l t ; a : K e y & g t ; & l t ; K e y & g t ; C o l u m n s \ C o l u m n 6 1 & l t ; / K e y & g t ; & l t ; / a : K e y & g t ; & l t ; a : V a l u e   i : t y p e = " M e a s u r e G r i d N o d e V i e w S t a t e " & g t ; & l t ; C o l u m n & g t ; 6 0 & l t ; / C o l u m n & g t ; & l t ; L a y e d O u t & g t ; t r u e & l t ; / L a y e d O u t & g t ; & l t ; / a : V a l u e & g t ; & l t ; / a : K e y V a l u e O f D i a g r a m O b j e c t K e y a n y T y p e z b w N T n L X & g t ; & l t ; a : K e y V a l u e O f D i a g r a m O b j e c t K e y a n y T y p e z b w N T n L X & g t ; & l t ; a : K e y & g t ; & l t ; K e y & g t ; C o l u m n s \ C o l u m n 6 2 & l t ; / K e y & g t ; & l t ; / a : K e y & g t ; & l t ; a : V a l u e   i : t y p e = " M e a s u r e G r i d N o d e V i e w S t a t e " & g t ; & l t ; C o l u m n & g t ; 6 1 & l t ; / C o l u m n & g t ; & l t ; L a y e d O u t & g t ; t r u e & l t ; / L a y e d O u t & g t ; & l t ; / a : V a l u e & g t ; & l t ; / a : K e y V a l u e O f D i a g r a m O b j e c t K e y a n y T y p e z b w N T n L X & g t ; & l t ; a : K e y V a l u e O f D i a g r a m O b j e c t K e y a n y T y p e z b w N T n L X & g t ; & l t ; a : K e y & g t ; & l t ; K e y & g t ; C o l u m n s \ C o l u m n 6 3 & l t ; / K e y & g t ; & l t ; / a : K e y & g t ; & l t ; a : V a l u e   i : t y p e = " M e a s u r e G r i d N o d e V i e w S t a t e " & g t ; & l t ; C o l u m n & g t ; 6 2 & l t ; / C o l u m n & g t ; & l t ; L a y e d O u t & g t ; t r u e & l t ; / L a y e d O u t & g t ; & l t ; / a : V a l u e & g t ; & l t ; / a : K e y V a l u e O f D i a g r a m O b j e c t K e y a n y T y p e z b w N T n L X & g t ; & l t ; a : K e y V a l u e O f D i a g r a m O b j e c t K e y a n y T y p e z b w N T n L X & g t ; & l t ; a : K e y & g t ; & l t ; K e y & g t ; C o l u m n s \ C o l u m n 6 4 & l t ; / K e y & g t ; & l t ; / a : K e y & g t ; & l t ; a : V a l u e   i : t y p e = " M e a s u r e G r i d N o d e V i e w S t a t e " & g t ; & l t ; C o l u m n & g t ; 6 3 & l t ; / C o l u m n & g t ; & l t ; L a y e d O u t & g t ; t r u e & l t ; / L a y e d O u t & g t ; & l t ; / a : V a l u e & g t ; & l t ; / a : K e y V a l u e O f D i a g r a m O b j e c t K e y a n y T y p e z b w N T n L X & g t ; & l t ; a : K e y V a l u e O f D i a g r a m O b j e c t K e y a n y T y p e z b w N T n L X & g t ; & l t ; a : K e y & g t ; & l t ; K e y & g t ; C o l u m n s \ C o l u m n 6 5 & l t ; / K e y & g t ; & l t ; / a : K e y & g t ; & l t ; a : V a l u e   i : t y p e = " M e a s u r e G r i d N o d e V i e w S t a t e " & g t ; & l t ; C o l u m n & g t ; 6 4 & l t ; / C o l u m n & g t ; & l t ; L a y e d O u t & g t ; t r u e & l t ; / L a y e d O u t & g t ; & l t ; / a : V a l u e & g t ; & l t ; / a : K e y V a l u e O f D i a g r a m O b j e c t K e y a n y T y p e z b w N T n L X & g t ; & l t ; a : K e y V a l u e O f D i a g r a m O b j e c t K e y a n y T y p e z b w N T n L X & g t ; & l t ; a : K e y & g t ; & l t ; K e y & g t ; C o l u m n s \ C o l u m n 6 6 & l t ; / K e y & g t ; & l t ; / a : K e y & g t ; & l t ; a : V a l u e   i : t y p e = " M e a s u r e G r i d N o d e V i e w S t a t e " & g t ; & l t ; C o l u m n & g t ; 6 5 & l t ; / C o l u m n & g t ; & l t ; L a y e d O u t & g t ; t r u e & l t ; / L a y e d O u t & g t ; & l t ; / a : V a l u e & g t ; & l t ; / a : K e y V a l u e O f D i a g r a m O b j e c t K e y a n y T y p e z b w N T n L X & g t ; & l t ; a : K e y V a l u e O f D i a g r a m O b j e c t K e y a n y T y p e z b w N T n L X & g t ; & l t ; a : K e y & g t ; & l t ; K e y & g t ; C o l u m n s \ C o l u m n 6 7 & l t ; / K e y & g t ; & l t ; / a : K e y & g t ; & l t ; a : V a l u e   i : t y p e = " M e a s u r e G r i d N o d e V i e w S t a t e " & g t ; & l t ; C o l u m n & g t ; 6 6 & l t ; / C o l u m n & g t ; & l t ; L a y e d O u t & g t ; t r u e & l t ; / L a y e d O u t & g t ; & l t ; / a : V a l u e & g t ; & l t ; / a : K e y V a l u e O f D i a g r a m O b j e c t K e y a n y T y p e z b w N T n L X & g t ; & l t ; a : K e y V a l u e O f D i a g r a m O b j e c t K e y a n y T y p e z b w N T n L X & g t ; & l t ; a : K e y & g t ; & l t ; K e y & g t ; C o l u m n s \ C o l u m n 6 8 & l t ; / K e y & g t ; & l t ; / a : K e y & g t ; & l t ; a : V a l u e   i : t y p e = " M e a s u r e G r i d N o d e V i e w S t a t e " & g t ; & l t ; C o l u m n & g t ; 6 7 & l t ; / C o l u m n & g t ; & l t ; L a y e d O u t & g t ; t r u e & l t ; / L a y e d O u t & g t ; & l t ; / a : V a l u e & g t ; & l t ; / a : K e y V a l u e O f D i a g r a m O b j e c t K e y a n y T y p e z b w N T n L X & g t ; & l t ; a : K e y V a l u e O f D i a g r a m O b j e c t K e y a n y T y p e z b w N T n L X & g t ; & l t ; a : K e y & g t ; & l t ; K e y & g t ; C o l u m n s \ C o l u m n 6 9 & l t ; / K e y & g t ; & l t ; / a : K e y & g t ; & l t ; a : V a l u e   i : t y p e = " M e a s u r e G r i d N o d e V i e w S t a t e " & g t ; & l t ; C o l u m n & g t ; 6 8 & l t ; / C o l u m n & g t ; & l t ; L a y e d O u t & g t ; t r u e & l t ; / L a y e d O u t & g t ; & l t ; / a : V a l u e & g t ; & l t ; / a : K e y V a l u e O f D i a g r a m O b j e c t K e y a n y T y p e z b w N T n L X & g t ; & l t ; a : K e y V a l u e O f D i a g r a m O b j e c t K e y a n y T y p e z b w N T n L X & g t ; & l t ; a : K e y & g t ; & l t ; K e y & g t ; C o l u m n s \ C o l u m n 7 0 & l t ; / K e y & g t ; & l t ; / a : K e y & g t ; & l t ; a : V a l u e   i : t y p e = " M e a s u r e G r i d N o d e V i e w S t a t e " & g t ; & l t ; C o l u m n & g t ; 6 9 & l t ; / C o l u m n & g t ; & l t ; L a y e d O u t & g t ; t r u e & l t ; / L a y e d O u t & g t ; & l t ; / a : V a l u e & g t ; & l t ; / a : K e y V a l u e O f D i a g r a m O b j e c t K e y a n y T y p e z b w N T n L X & g t ; & l t ; a : K e y V a l u e O f D i a g r a m O b j e c t K e y a n y T y p e z b w N T n L X & g t ; & l t ; a : K e y & g t ; & l t ; K e y & g t ; C o l u m n s \ C o l u m n 7 1 & l t ; / K e y & g t ; & l t ; / a : K e y & g t ; & l t ; a : V a l u e   i : t y p e = " M e a s u r e G r i d N o d e V i e w S t a t e " & g t ; & l t ; C o l u m n & g t ; 7 0 & l t ; / C o l u m n & g t ; & l t ; L a y e d O u t & g t ; t r u e & l t ; / L a y e d O u t & g t ; & l t ; / a : V a l u e & g t ; & l t ; / a : K e y V a l u e O f D i a g r a m O b j e c t K e y a n y T y p e z b w N T n L X & g t ; & l t ; a : K e y V a l u e O f D i a g r a m O b j e c t K e y a n y T y p e z b w N T n L X & g t ; & l t ; a : K e y & g t ; & l t ; K e y & g t ; C o l u m n s \ C o l u m n 7 2 & l t ; / K e y & g t ; & l t ; / a : K e y & g t ; & l t ; a : V a l u e   i : t y p e = " M e a s u r e G r i d N o d e V i e w S t a t e " & g t ; & l t ; C o l u m n & g t ; 7 1 & l t ; / C o l u m n & g t ; & l t ; L a y e d O u t & g t ; t r u e & l t ; / L a y e d O u t & g t ; & l t ; / a : V a l u e & g t ; & l t ; / a : K e y V a l u e O f D i a g r a m O b j e c t K e y a n y T y p e z b w N T n L X & g t ; & l t ; a : K e y V a l u e O f D i a g r a m O b j e c t K e y a n y T y p e z b w N T n L X & g t ; & l t ; a : K e y & g t ; & l t ; K e y & g t ; C o l u m n s \ C o l u m n 7 3 & l t ; / K e y & g t ; & l t ; / a : K e y & g t ; & l t ; a : V a l u e   i : t y p e = " M e a s u r e G r i d N o d e V i e w S t a t e " & g t ; & l t ; C o l u m n & g t ; 7 2 & l t ; / C o l u m n & g t ; & l t ; L a y e d O u t & g t ; t r u e & l t ; / L a y e d O u t & g t ; & l t ; / a : V a l u e & g t ; & l t ; / a : K e y V a l u e O f D i a g r a m O b j e c t K e y a n y T y p e z b w N T n L X & g t ; & l t ; a : K e y V a l u e O f D i a g r a m O b j e c t K e y a n y T y p e z b w N T n L X & g t ; & l t ; a : K e y & g t ; & l t ; K e y & g t ; C o l u m n s \ C o l u m n 7 4 & l t ; / K e y & g t ; & l t ; / a : K e y & g t ; & l t ; a : V a l u e   i : t y p e = " M e a s u r e G r i d N o d e V i e w S t a t e " & g t ; & l t ; C o l u m n & g t ; 7 3 & l t ; / C o l u m n & g t ; & l t ; L a y e d O u t & g t ; t r u e & l t ; / L a y e d O u t & g t ; & l t ; / a : V a l u e & g t ; & l t ; / a : K e y V a l u e O f D i a g r a m O b j e c t K e y a n y T y p e z b w N T n L X & g t ; & l t ; a : K e y V a l u e O f D i a g r a m O b j e c t K e y a n y T y p e z b w N T n L X & g t ; & l t ; a : K e y & g t ; & l t ; K e y & g t ; C o l u m n s \ C o l u m n 7 5 & l t ; / K e y & g t ; & l t ; / a : K e y & g t ; & l t ; a : V a l u e   i : t y p e = " M e a s u r e G r i d N o d e V i e w S t a t e " & g t ; & l t ; C o l u m n & g t ; 7 4 & l t ; / C o l u m n & g t ; & l t ; L a y e d O u t & g t ; t r u e & l t ; / L a y e d O u t & g t ; & l t ; / a : V a l u e & g t ; & l t ; / a : K e y V a l u e O f D i a g r a m O b j e c t K e y a n y T y p e z b w N T n L X & g t ; & l t ; a : K e y V a l u e O f D i a g r a m O b j e c t K e y a n y T y p e z b w N T n L X & g t ; & l t ; a : K e y & g t ; & l t ; K e y & g t ; C o l u m n s \ C o l u m n 7 6 & l t ; / K e y & g t ; & l t ; / a : K e y & g t ; & l t ; a : V a l u e   i : t y p e = " M e a s u r e G r i d N o d e V i e w S t a t e " & g t ; & l t ; C o l u m n & g t ; 7 5 & l t ; / C o l u m n & g t ; & l t ; L a y e d O u t & g t ; t r u e & l t ; / L a y e d O u t & g t ; & l t ; / a : V a l u e & g t ; & l t ; / a : K e y V a l u e O f D i a g r a m O b j e c t K e y a n y T y p e z b w N T n L X & g t ; & l t ; a : K e y V a l u e O f D i a g r a m O b j e c t K e y a n y T y p e z b w N T n L X & g t ; & l t ; a : K e y & g t ; & l t ; K e y & g t ; C o l u m n s \ C o l u m n 7 7 & l t ; / K e y & g t ; & l t ; / a : K e y & g t ; & l t ; a : V a l u e   i : t y p e = " M e a s u r e G r i d N o d e V i e w S t a t e " & g t ; & l t ; C o l u m n & g t ; 7 6 & l t ; / C o l u m n & g t ; & l t ; L a y e d O u t & g t ; t r u e & l t ; / L a y e d O u t & g t ; & l t ; / a : V a l u e & g t ; & l t ; / a : K e y V a l u e O f D i a g r a m O b j e c t K e y a n y T y p e z b w N T n L X & g t ; & l t ; a : K e y V a l u e O f D i a g r a m O b j e c t K e y a n y T y p e z b w N T n L X & g t ; & l t ; a : K e y & g t ; & l t ; K e y & g t ; C o l u m n s \ C o l u m n 7 8 & l t ; / K e y & g t ; & l t ; / a : K e y & g t ; & l t ; a : V a l u e   i : t y p e = " M e a s u r e G r i d N o d e V i e w S t a t e " & g t ; & l t ; C o l u m n & g t ; 7 7 & l t ; / C o l u m n & g t ; & l t ; L a y e d O u t & g t ; t r u e & l t ; / L a y e d O u t & g t ; & l t ; / a : V a l u e & g t ; & l t ; / a : K e y V a l u e O f D i a g r a m O b j e c t K e y a n y T y p e z b w N T n L X & g t ; & l t ; a : K e y V a l u e O f D i a g r a m O b j e c t K e y a n y T y p e z b w N T n L X & g t ; & l t ; a : K e y & g t ; & l t ; K e y & g t ; C o l u m n s \ C o l u m n 7 9 & l t ; / K e y & g t ; & l t ; / a : K e y & g t ; & l t ; a : V a l u e   i : t y p e = " M e a s u r e G r i d N o d e V i e w S t a t e " & g t ; & l t ; C o l u m n & g t ; 7 8 & l t ; / C o l u m n & g t ; & l t ; L a y e d O u t & g t ; t r u e & l t ; / L a y e d O u t & g t ; & l t ; / a : V a l u e & g t ; & l t ; / a : K e y V a l u e O f D i a g r a m O b j e c t K e y a n y T y p e z b w N T n L X & g t ; & l t ; a : K e y V a l u e O f D i a g r a m O b j e c t K e y a n y T y p e z b w N T n L X & g t ; & l t ; a : K e y & g t ; & l t ; K e y & g t ; C o l u m n s \ C o l u m n 8 0 & l t ; / K e y & g t ; & l t ; / a : K e y & g t ; & l t ; a : V a l u e   i : t y p e = " M e a s u r e G r i d N o d e V i e w S t a t e " & g t ; & l t ; C o l u m n & g t ; 7 9 & l t ; / C o l u m n & g t ; & l t ; L a y e d O u t & g t ; t r u e & l t ; / L a y e d O u t & g t ; & l t ; / a : V a l u e & g t ; & l t ; / a : K e y V a l u e O f D i a g r a m O b j e c t K e y a n y T y p e z b w N T n L X & g t ; & l t ; a : K e y V a l u e O f D i a g r a m O b j e c t K e y a n y T y p e z b w N T n L X & g t ; & l t ; a : K e y & g t ; & l t ; K e y & g t ; C o l u m n s \ C o l u m n 8 1 & l t ; / K e y & g t ; & l t ; / a : K e y & g t ; & l t ; a : V a l u e   i : t y p e = " M e a s u r e G r i d N o d e V i e w S t a t e " & g t ; & l t ; C o l u m n & g t ; 8 0 & l t ; / C o l u m n & g t ; & l t ; L a y e d O u t & g t ; t r u e & l t ; / L a y e d O u t & g t ; & l t ; / a : V a l u e & g t ; & l t ; / a : K e y V a l u e O f D i a g r a m O b j e c t K e y a n y T y p e z b w N T n L X & g t ; & l t ; a : K e y V a l u e O f D i a g r a m O b j e c t K e y a n y T y p e z b w N T n L X & g t ; & l t ; a : K e y & g t ; & l t ; K e y & g t ; C o l u m n s \ C o l u m n 8 2 & l t ; / K e y & g t ; & l t ; / a : K e y & g t ; & l t ; a : V a l u e   i : t y p e = " M e a s u r e G r i d N o d e V i e w S t a t e " & g t ; & l t ; C o l u m n & g t ; 8 1 & l t ; / C o l u m n & g t ; & l t ; L a y e d O u t & g t ; t r u e & l t ; / L a y e d O u t & g t ; & l t ; / a : V a l u e & g t ; & l t ; / a : K e y V a l u e O f D i a g r a m O b j e c t K e y a n y T y p e z b w N T n L X & g t ; & l t ; a : K e y V a l u e O f D i a g r a m O b j e c t K e y a n y T y p e z b w N T n L X & g t ; & l t ; a : K e y & g t ; & l t ; K e y & g t ; C o l u m n s \ C o l u m n 8 3 & l t ; / K e y & g t ; & l t ; / a : K e y & g t ; & l t ; a : V a l u e   i : t y p e = " M e a s u r e G r i d N o d e V i e w S t a t e " & g t ; & l t ; C o l u m n & g t ; 8 2 & l t ; / C o l u m n & g t ; & l t ; L a y e d O u t & g t ; t r u e & l t ; / L a y e d O u t & g t ; & l t ; / a : V a l u e & g t ; & l t ; / a : K e y V a l u e O f D i a g r a m O b j e c t K e y a n y T y p e z b w N T n L X & g t ; & l t ; a : K e y V a l u e O f D i a g r a m O b j e c t K e y a n y T y p e z b w N T n L X & g t ; & l t ; a : K e y & g t ; & l t ; K e y & g t ; C o l u m n s \ C o l u m n 8 4 & l t ; / K e y & g t ; & l t ; / a : K e y & g t ; & l t ; a : V a l u e   i : t y p e = " M e a s u r e G r i d N o d e V i e w S t a t e " & g t ; & l t ; C o l u m n & g t ; 8 3 & l t ; / C o l u m n & g t ; & l t ; L a y e d O u t & g t ; t r u e & l t ; / L a y e d O u t & g t ; & l t ; / a : V a l u e & g t ; & l t ; / a : K e y V a l u e O f D i a g r a m O b j e c t K e y a n y T y p e z b w N T n L X & g t ; & l t ; a : K e y V a l u e O f D i a g r a m O b j e c t K e y a n y T y p e z b w N T n L X & g t ; & l t ; a : K e y & g t ; & l t ; K e y & g t ; C o l u m n s \ C o l u m n 8 5 & l t ; / K e y & g t ; & l t ; / a : K e y & g t ; & l t ; a : V a l u e   i : t y p e = " M e a s u r e G r i d N o d e V i e w S t a t e " & g t ; & l t ; C o l u m n & g t ; 8 4 & l t ; / C o l u m n & g t ; & l t ; L a y e d O u t & g t ; t r u e & l t ; / L a y e d O u t & g t ; & l t ; / a : V a l u e & g t ; & l t ; / a : K e y V a l u e O f D i a g r a m O b j e c t K e y a n y T y p e z b w N T n L X & g t ; & l t ; a : K e y V a l u e O f D i a g r a m O b j e c t K e y a n y T y p e z b w N T n L X & g t ; & l t ; a : K e y & g t ; & l t ; K e y & g t ; C o l u m n s \ C o l u m n 8 6 & l t ; / K e y & g t ; & l t ; / a : K e y & g t ; & l t ; a : V a l u e   i : t y p e = " M e a s u r e G r i d N o d e V i e w S t a t e " & g t ; & l t ; C o l u m n & g t ; 8 5 & l t ; / C o l u m n & g t ; & l t ; L a y e d O u t & g t ; t r u e & l t ; / L a y e d O u t & g t ; & l t ; / a : V a l u e & g t ; & l t ; / a : K e y V a l u e O f D i a g r a m O b j e c t K e y a n y T y p e z b w N T n L X & g t ; & l t ; a : K e y V a l u e O f D i a g r a m O b j e c t K e y a n y T y p e z b w N T n L X & g t ; & l t ; a : K e y & g t ; & l t ; K e y & g t ; C o l u m n s \ C o l u m n 8 7 & l t ; / K e y & g t ; & l t ; / a : K e y & g t ; & l t ; a : V a l u e   i : t y p e = " M e a s u r e G r i d N o d e V i e w S t a t e " & g t ; & l t ; C o l u m n & g t ; 8 6 & l t ; / C o l u m n & g t ; & l t ; L a y e d O u t & g t ; t r u e & l t ; / L a y e d O u t & g t ; & l t ; / a : V a l u e & g t ; & l t ; / a : K e y V a l u e O f D i a g r a m O b j e c t K e y a n y T y p e z b w N T n L X & g t ; & l t ; a : K e y V a l u e O f D i a g r a m O b j e c t K e y a n y T y p e z b w N T n L X & g t ; & l t ; a : K e y & g t ; & l t ; K e y & g t ; C o l u m n s \ C o l u m n 8 8 & l t ; / K e y & g t ; & l t ; / a : K e y & g t ; & l t ; a : V a l u e   i : t y p e = " M e a s u r e G r i d N o d e V i e w S t a t e " & g t ; & l t ; C o l u m n & g t ; 8 7 & l t ; / C o l u m n & g t ; & l t ; L a y e d O u t & g t ; t r u e & l t ; / L a y e d O u t & g t ; & l t ; / a : V a l u e & g t ; & l t ; / a : K e y V a l u e O f D i a g r a m O b j e c t K e y a n y T y p e z b w N T n L X & g t ; & l t ; a : K e y V a l u e O f D i a g r a m O b j e c t K e y a n y T y p e z b w N T n L X & g t ; & l t ; a : K e y & g t ; & l t ; K e y & g t ; C o l u m n s \ C o l u m n 8 9 & l t ; / K e y & g t ; & l t ; / a : K e y & g t ; & l t ; a : V a l u e   i : t y p e = " M e a s u r e G r i d N o d e V i e w S t a t e " & g t ; & l t ; C o l u m n & g t ; 8 8 & l t ; / C o l u m n & g t ; & l t ; L a y e d O u t & g t ; t r u e & l t ; / L a y e d O u t & g t ; & l t ; / a : V a l u e & g t ; & l t ; / a : K e y V a l u e O f D i a g r a m O b j e c t K e y a n y T y p e z b w N T n L X & g t ; & l t ; a : K e y V a l u e O f D i a g r a m O b j e c t K e y a n y T y p e z b w N T n L X & g t ; & l t ; a : K e y & g t ; & l t ; K e y & g t ; C o l u m n s \ C o l u m n 9 0 & l t ; / K e y & g t ; & l t ; / a : K e y & g t ; & l t ; a : V a l u e   i : t y p e = " M e a s u r e G r i d N o d e V i e w S t a t e " & g t ; & l t ; C o l u m n & g t ; 8 9 & l t ; / C o l u m n & g t ; & l t ; L a y e d O u t & g t ; t r u e & l t ; / L a y e d O u t & g t ; & l t ; / a : V a l u e & g t ; & l t ; / a : K e y V a l u e O f D i a g r a m O b j e c t K e y a n y T y p e z b w N T n L X & g t ; & l t ; a : K e y V a l u e O f D i a g r a m O b j e c t K e y a n y T y p e z b w N T n L X & g t ; & l t ; a : K e y & g t ; & l t ; K e y & g t ; C o l u m n s \ C o l u m n 9 1 & l t ; / K e y & g t ; & l t ; / a : K e y & g t ; & l t ; a : V a l u e   i : t y p e = " M e a s u r e G r i d N o d e V i e w S t a t e " & g t ; & l t ; C o l u m n & g t ; 9 0 & l t ; / C o l u m n & g t ; & l t ; L a y e d O u t & g t ; t r u e & l t ; / L a y e d O u t & g t ; & l t ; / a : V a l u e & g t ; & l t ; / a : K e y V a l u e O f D i a g r a m O b j e c t K e y a n y T y p e z b w N T n L X & g t ; & l t ; a : K e y V a l u e O f D i a g r a m O b j e c t K e y a n y T y p e z b w N T n L X & g t ; & l t ; a : K e y & g t ; & l t ; K e y & g t ; C o l u m n s \ C o l u m n 9 2 & l t ; / K e y & g t ; & l t ; / a : K e y & g t ; & l t ; a : V a l u e   i : t y p e = " M e a s u r e G r i d N o d e V i e w S t a t e " & g t ; & l t ; C o l u m n & g t ; 9 1 & l t ; / C o l u m n & g t ; & l t ; L a y e d O u t & g t ; t r u e & l t ; / L a y e d O u t & g t ; & l t ; / a : V a l u e & g t ; & l t ; / a : K e y V a l u e O f D i a g r a m O b j e c t K e y a n y T y p e z b w N T n L X & g t ; & l t ; a : K e y V a l u e O f D i a g r a m O b j e c t K e y a n y T y p e z b w N T n L X & g t ; & l t ; a : K e y & g t ; & l t ; K e y & g t ; C o l u m n s \ C o l u m n 9 3 & l t ; / K e y & g t ; & l t ; / a : K e y & g t ; & l t ; a : V a l u e   i : t y p e = " M e a s u r e G r i d N o d e V i e w S t a t e " & g t ; & l t ; C o l u m n & g t ; 9 2 & l t ; / C o l u m n & g t ; & l t ; L a y e d O u t & g t ; t r u e & l t ; / L a y e d O u t & g t ; & l t ; / a : V a l u e & g t ; & l t ; / a : K e y V a l u e O f D i a g r a m O b j e c t K e y a n y T y p e z b w N T n L X & g t ; & l t ; a : K e y V a l u e O f D i a g r a m O b j e c t K e y a n y T y p e z b w N T n L X & g t ; & l t ; a : K e y & g t ; & l t ; K e y & g t ; C o l u m n s \ C o l u m n 9 4 & l t ; / K e y & g t ; & l t ; / a : K e y & g t ; & l t ; a : V a l u e   i : t y p e = " M e a s u r e G r i d N o d e V i e w S t a t e " & g t ; & l t ; C o l u m n & g t ; 9 3 & l t ; / C o l u m n & g t ; & l t ; L a y e d O u t & g t ; t r u e & l t ; / L a y e d O u t & g t ; & l t ; / a : V a l u e & g t ; & l t ; / a : K e y V a l u e O f D i a g r a m O b j e c t K e y a n y T y p e z b w N T n L X & g t ; & l t ; a : K e y V a l u e O f D i a g r a m O b j e c t K e y a n y T y p e z b w N T n L X & g t ; & l t ; a : K e y & g t ; & l t ; K e y & g t ; C o l u m n s \ C o l u m n 9 5 & l t ; / K e y & g t ; & l t ; / a : K e y & g t ; & l t ; a : V a l u e   i : t y p e = " M e a s u r e G r i d N o d e V i e w S t a t e " & g t ; & l t ; C o l u m n & g t ; 9 4 & l t ; / C o l u m n & g t ; & l t ; L a y e d O u t & g t ; t r u e & l t ; / L a y e d O u t & g t ; & l t ; / a : V a l u e & g t ; & l t ; / a : K e y V a l u e O f D i a g r a m O b j e c t K e y a n y T y p e z b w N T n L X & g t ; & l t ; a : K e y V a l u e O f D i a g r a m O b j e c t K e y a n y T y p e z b w N T n L X & g t ; & l t ; a : K e y & g t ; & l t ; K e y & g t ; C o l u m n s \ C o l u m n 9 6 & l t ; / K e y & g t ; & l t ; / a : K e y & g t ; & l t ; a : V a l u e   i : t y p e = " M e a s u r e G r i d N o d e V i e w S t a t e " & g t ; & l t ; C o l u m n & g t ; 9 5 & l t ; / C o l u m n & g t ; & l t ; L a y e d O u t & g t ; t r u e & l t ; / L a y e d O u t & g t ; & l t ; / a : V a l u e & g t ; & l t ; / a : K e y V a l u e O f D i a g r a m O b j e c t K e y a n y T y p e z b w N T n L X & g t ; & l t ; a : K e y V a l u e O f D i a g r a m O b j e c t K e y a n y T y p e z b w N T n L X & g t ; & l t ; a : K e y & g t ; & l t ; K e y & g t ; C o l u m n s \ C o l u m n 9 7 & l t ; / K e y & g t ; & l t ; / a : K e y & g t ; & l t ; a : V a l u e   i : t y p e = " M e a s u r e G r i d N o d e V i e w S t a t e " & g t ; & l t ; C o l u m n & g t ; 9 6 & l t ; / C o l u m n & g t ; & l t ; L a y e d O u t & g t ; t r u e & l t ; / L a y e d O u t & g t ; & l t ; / a : V a l u e & g t ; & l t ; / a : K e y V a l u e O f D i a g r a m O b j e c t K e y a n y T y p e z b w N T n L X & g t ; & l t ; a : K e y V a l u e O f D i a g r a m O b j e c t K e y a n y T y p e z b w N T n L X & g t ; & l t ; a : K e y & g t ; & l t ; K e y & g t ; C o l u m n s \ C o l u m n 9 8 & l t ; / K e y & g t ; & l t ; / a : K e y & g t ; & l t ; a : V a l u e   i : t y p e = " M e a s u r e G r i d N o d e V i e w S t a t e " & g t ; & l t ; C o l u m n & g t ; 9 7 & l t ; / C o l u m n & g t ; & l t ; L a y e d O u t & g t ; t r u e & l t ; / L a y e d O u t & g t ; & l t ; / a : V a l u e & g t ; & l t ; / a : K e y V a l u e O f D i a g r a m O b j e c t K e y a n y T y p e z b w N T n L X & g t ; & l t ; a : K e y V a l u e O f D i a g r a m O b j e c t K e y a n y T y p e z b w N T n L X & g t ; & l t ; a : K e y & g t ; & l t ; K e y & g t ; C o l u m n s \ C o l u m n 9 9 & l t ; / K e y & g t ; & l t ; / a : K e y & g t ; & l t ; a : V a l u e   i : t y p e = " M e a s u r e G r i d N o d e V i e w S t a t e " & g t ; & l t ; C o l u m n & g t ; 9 8 & l t ; / C o l u m n & g t ; & l t ; L a y e d O u t & g t ; t r u e & l t ; / L a y e d O u t & g t ; & l t ; / a : V a l u e & g t ; & l t ; / a : K e y V a l u e O f D i a g r a m O b j e c t K e y a n y T y p e z b w N T n L X & g t ; & l t ; a : K e y V a l u e O f D i a g r a m O b j e c t K e y a n y T y p e z b w N T n L X & g t ; & l t ; a : K e y & g t ; & l t ; K e y & g t ; C o l u m n s \ C o l u m n 1 0 0 & l t ; / K e y & g t ; & l t ; / a : K e y & g t ; & l t ; a : V a l u e   i : t y p e = " M e a s u r e G r i d N o d e V i e w S t a t e " & g t ; & l t ; C o l u m n & g t ; 9 9 & l t ; / C o l u m n & g t ; & l t ; L a y e d O u t & g t ; t r u e & l t ; / L a y e d O u t & g t ; & l t ; / a : V a l u e & g t ; & l t ; / a : K e y V a l u e O f D i a g r a m O b j e c t K e y a n y T y p e z b w N T n L X & g t ; & l t ; a : K e y V a l u e O f D i a g r a m O b j e c t K e y a n y T y p e z b w N T n L X & g t ; & l t ; a : K e y & g t ; & l t ; K e y & g t ; C o l u m n s \ C o l u m n 1 0 1 & l t ; / K e y & g t ; & l t ; / a : K e y & g t ; & l t ; a : V a l u e   i : t y p e = " M e a s u r e G r i d N o d e V i e w S t a t e " & g t ; & l t ; C o l u m n & g t ; 1 0 0 & l t ; / C o l u m n & g t ; & l t ; L a y e d O u t & g t ; t r u e & l t ; / L a y e d O u t & g t ; & l t ; / a : V a l u e & g t ; & l t ; / a : K e y V a l u e O f D i a g r a m O b j e c t K e y a n y T y p e z b w N T n L X & g t ; & l t ; a : K e y V a l u e O f D i a g r a m O b j e c t K e y a n y T y p e z b w N T n L X & g t ; & l t ; a : K e y & g t ; & l t ; K e y & g t ; C o l u m n s \ C o l u m n 1 0 2 & l t ; / K e y & g t ; & l t ; / a : K e y & g t ; & l t ; a : V a l u e   i : t y p e = " M e a s u r e G r i d N o d e V i e w S t a t e " & g t ; & l t ; C o l u m n & g t ; 1 0 1 & l t ; / C o l u m n & g t ; & l t ; L a y e d O u t & g t ; t r u e & l t ; / L a y e d O u t & g t ; & l t ; / a : V a l u e & g t ; & l t ; / a : K e y V a l u e O f D i a g r a m O b j e c t K e y a n y T y p e z b w N T n L X & g t ; & l t ; a : K e y V a l u e O f D i a g r a m O b j e c t K e y a n y T y p e z b w N T n L X & g t ; & l t ; a : K e y & g t ; & l t ; K e y & g t ; C o l u m n s \ C o l u m n 1 0 3 & l t ; / K e y & g t ; & l t ; / a : K e y & g t ; & l t ; a : V a l u e   i : t y p e = " M e a s u r e G r i d N o d e V i e w S t a t e " & g t ; & l t ; C o l u m n & g t ; 1 0 2 & l t ; / C o l u m n & g t ; & l t ; L a y e d O u t & g t ; t r u e & l t ; / L a y e d O u t & g t ; & l t ; / a : V a l u e & g t ; & l t ; / a : K e y V a l u e O f D i a g r a m O b j e c t K e y a n y T y p e z b w N T n L X & g t ; & l t ; a : K e y V a l u e O f D i a g r a m O b j e c t K e y a n y T y p e z b w N T n L X & g t ; & l t ; a : K e y & g t ; & l t ; K e y & g t ; C o l u m n s \ C o l u m n 1 0 4 & l t ; / K e y & g t ; & l t ; / a : K e y & g t ; & l t ; a : V a l u e   i : t y p e = " M e a s u r e G r i d N o d e V i e w S t a t e " & g t ; & l t ; C o l u m n & g t ; 1 0 3 & l t ; / C o l u m n & g t ; & l t ; L a y e d O u t & g t ; t r u e & l t ; / L a y e d O u t & g t ; & l t ; / a : V a l u e & g t ; & l t ; / a : K e y V a l u e O f D i a g r a m O b j e c t K e y a n y T y p e z b w N T n L X & g t ; & l t ; a : K e y V a l u e O f D i a g r a m O b j e c t K e y a n y T y p e z b w N T n L X & g t ; & l t ; a : K e y & g t ; & l t ; K e y & g t ; C o l u m n s \ C o l u m n 1 0 5 & l t ; / K e y & g t ; & l t ; / a : K e y & g t ; & l t ; a : V a l u e   i : t y p e = " M e a s u r e G r i d N o d e V i e w S t a t e " & g t ; & l t ; C o l u m n & g t ; 1 0 4 & l t ; / C o l u m n & g t ; & l t ; L a y e d O u t & g t ; t r u e & l t ; / L a y e d O u t & g t ; & l t ; / a : V a l u e & g t ; & l t ; / a : K e y V a l u e O f D i a g r a m O b j e c t K e y a n y T y p e z b w N T n L X & g t ; & l t ; a : K e y V a l u e O f D i a g r a m O b j e c t K e y a n y T y p e z b w N T n L X & g t ; & l t ; a : K e y & g t ; & l t ; K e y & g t ; C o l u m n s \ C o l u m n 1 0 6 & l t ; / K e y & g t ; & l t ; / a : K e y & g t ; & l t ; a : V a l u e   i : t y p e = " M e a s u r e G r i d N o d e V i e w S t a t e " & g t ; & l t ; C o l u m n & g t ; 1 0 5 & l t ; / C o l u m n & g t ; & l t ; L a y e d O u t & g t ; t r u e & l t ; / L a y e d O u t & g t ; & l t ; / a : V a l u e & g t ; & l t ; / a : K e y V a l u e O f D i a g r a m O b j e c t K e y a n y T y p e z b w N T n L X & g t ; & l t ; a : K e y V a l u e O f D i a g r a m O b j e c t K e y a n y T y p e z b w N T n L X & g t ; & l t ; a : K e y & g t ; & l t ; K e y & g t ; C o l u m n s \ C o l u m n 1 0 7 & l t ; / K e y & g t ; & l t ; / a : K e y & g t ; & l t ; a : V a l u e   i : t y p e = " M e a s u r e G r i d N o d e V i e w S t a t e " & g t ; & l t ; C o l u m n & g t ; 1 0 6 & l t ; / C o l u m n & g t ; & l t ; L a y e d O u t & g t ; t r u e & l t ; / L a y e d O u t & g t ; & l t ; / a : V a l u e & g t ; & l t ; / a : K e y V a l u e O f D i a g r a m O b j e c t K e y a n y T y p e z b w N T n L X & g t ; & l t ; a : K e y V a l u e O f D i a g r a m O b j e c t K e y a n y T y p e z b w N T n L X & g t ; & l t ; a : K e y & g t ; & l t ; K e y & g t ; C o l u m n s \ C o l u m n 1 0 8 & l t ; / K e y & g t ; & l t ; / a : K e y & g t ; & l t ; a : V a l u e   i : t y p e = " M e a s u r e G r i d N o d e V i e w S t a t e " & g t ; & l t ; C o l u m n & g t ; 1 0 7 & l t ; / C o l u m n & g t ; & l t ; L a y e d O u t & g t ; t r u e & l t ; / L a y e d O u t & g t ; & l t ; / a : V a l u e & g t ; & l t ; / a : K e y V a l u e O f D i a g r a m O b j e c t K e y a n y T y p e z b w N T n L X & g t ; & l t ; a : K e y V a l u e O f D i a g r a m O b j e c t K e y a n y T y p e z b w N T n L X & g t ; & l t ; a : K e y & g t ; & l t ; K e y & g t ; C o l u m n s \ C o l u m n 1 0 9 & l t ; / K e y & g t ; & l t ; / a : K e y & g t ; & l t ; a : V a l u e   i : t y p e = " M e a s u r e G r i d N o d e V i e w S t a t e " & g t ; & l t ; C o l u m n & g t ; 1 0 8 & l t ; / C o l u m n & g t ; & l t ; L a y e d O u t & g t ; t r u e & l t ; / L a y e d O u t & g t ; & l t ; / a : V a l u e & g t ; & l t ; / a : K e y V a l u e O f D i a g r a m O b j e c t K e y a n y T y p e z b w N T n L X & g t ; & l t ; a : K e y V a l u e O f D i a g r a m O b j e c t K e y a n y T y p e z b w N T n L X & g t ; & l t ; a : K e y & g t ; & l t ; K e y & g t ; C o l u m n s \ C o l u m n 1 1 0 & l t ; / K e y & g t ; & l t ; / a : K e y & g t ; & l t ; a : V a l u e   i : t y p e = " M e a s u r e G r i d N o d e V i e w S t a t e " & g t ; & l t ; C o l u m n & g t ; 1 0 9 & l t ; / C o l u m n & g t ; & l t ; L a y e d O u t & g t ; t r u e & l t ; / L a y e d O u t & g t ; & l t ; / a : V a l u e & g t ; & l t ; / a : K e y V a l u e O f D i a g r a m O b j e c t K e y a n y T y p e z b w N T n L X & g t ; & l t ; a : K e y V a l u e O f D i a g r a m O b j e c t K e y a n y T y p e z b w N T n L X & g t ; & l t ; a : K e y & g t ; & l t ; K e y & g t ; C o l u m n s \ C o l u m n 1 1 1 & l t ; / K e y & g t ; & l t ; / a : K e y & g t ; & l t ; a : V a l u e   i : t y p e = " M e a s u r e G r i d N o d e V i e w S t a t e " & g t ; & l t ; C o l u m n & g t ; 1 1 0 & l t ; / C o l u m n & g t ; & l t ; L a y e d O u t & g t ; t r u e & l t ; / L a y e d O u t & g t ; & l t ; / a : V a l u e & g t ; & l t ; / a : K e y V a l u e O f D i a g r a m O b j e c t K e y a n y T y p e z b w N T n L X & g t ; & l t ; a : K e y V a l u e O f D i a g r a m O b j e c t K e y a n y T y p e z b w N T n L X & g t ; & l t ; a : K e y & g t ; & l t ; K e y & g t ; C o l u m n s \ C o l u m n 1 1 2 & l t ; / K e y & g t ; & l t ; / a : K e y & g t ; & l t ; a : V a l u e   i : t y p e = " M e a s u r e G r i d N o d e V i e w S t a t e " & g t ; & l t ; C o l u m n & g t ; 1 1 1 & l t ; / C o l u m n & g t ; & l t ; L a y e d O u t & g t ; t r u e & l t ; / L a y e d O u t & g t ; & l t ; / a : V a l u e & g t ; & l t ; / a : K e y V a l u e O f D i a g r a m O b j e c t K e y a n y T y p e z b w N T n L X & g t ; & l t ; a : K e y V a l u e O f D i a g r a m O b j e c t K e y a n y T y p e z b w N T n L X & g t ; & l t ; a : K e y & g t ; & l t ; K e y & g t ; C o l u m n s \ C o l u m n 1 1 3 & l t ; / K e y & g t ; & l t ; / a : K e y & g t ; & l t ; a : V a l u e   i : t y p e = " M e a s u r e G r i d N o d e V i e w S t a t e " & g t ; & l t ; C o l u m n & g t ; 1 1 2 & l t ; / C o l u m n & g t ; & l t ; L a y e d O u t & g t ; t r u e & l t ; / L a y e d O u t & g t ; & l t ; / a : V a l u e & g t ; & l t ; / a : K e y V a l u e O f D i a g r a m O b j e c t K e y a n y T y p e z b w N T n L X & g t ; & l t ; a : K e y V a l u e O f D i a g r a m O b j e c t K e y a n y T y p e z b w N T n L X & g t ; & l t ; a : K e y & g t ; & l t ; K e y & g t ; C o l u m n s \ C o l u m n 1 1 4 & l t ; / K e y & g t ; & l t ; / a : K e y & g t ; & l t ; a : V a l u e   i : t y p e = " M e a s u r e G r i d N o d e V i e w S t a t e " & g t ; & l t ; C o l u m n & g t ; 1 1 3 & l t ; / C o l u m n & g t ; & l t ; L a y e d O u t & g t ; t r u e & l t ; / L a y e d O u t & g t ; & l t ; / a : V a l u e & g t ; & l t ; / a : K e y V a l u e O f D i a g r a m O b j e c t K e y a n y T y p e z b w N T n L X & g t ; & l t ; a : K e y V a l u e O f D i a g r a m O b j e c t K e y a n y T y p e z b w N T n L X & g t ; & l t ; a : K e y & g t ; & l t ; K e y & g t ; C o l u m n s \ C o l u m n 1 1 5 & l t ; / K e y & g t ; & l t ; / a : K e y & g t ; & l t ; a : V a l u e   i : t y p e = " M e a s u r e G r i d N o d e V i e w S t a t e " & g t ; & l t ; C o l u m n & g t ; 1 1 4 & l t ; / C o l u m n & g t ; & l t ; L a y e d O u t & g t ; t r u e & l t ; / L a y e d O u t & g t ; & l t ; / a : V a l u e & g t ; & l t ; / a : K e y V a l u e O f D i a g r a m O b j e c t K e y a n y T y p e z b w N T n L X & g t ; & l t ; a : K e y V a l u e O f D i a g r a m O b j e c t K e y a n y T y p e z b w N T n L X & g t ; & l t ; a : K e y & g t ; & l t ; K e y & g t ; C o l u m n s \ C o l u m n 1 1 6 & l t ; / K e y & g t ; & l t ; / a : K e y & g t ; & l t ; a : V a l u e   i : t y p e = " M e a s u r e G r i d N o d e V i e w S t a t e " & g t ; & l t ; C o l u m n & g t ; 1 1 5 & l t ; / C o l u m n & g t ; & l t ; L a y e d O u t & g t ; t r u e & l t ; / L a y e d O u t & g t ; & l t ; / a : V a l u e & g t ; & l t ; / a : K e y V a l u e O f D i a g r a m O b j e c t K e y a n y T y p e z b w N T n L X & g t ; & l t ; a : K e y V a l u e O f D i a g r a m O b j e c t K e y a n y T y p e z b w N T n L X & g t ; & l t ; a : K e y & g t ; & l t ; K e y & g t ; C o l u m n s \ C o l u m n 1 1 7 & l t ; / K e y & g t ; & l t ; / a : K e y & g t ; & l t ; a : V a l u e   i : t y p e = " M e a s u r e G r i d N o d e V i e w S t a t e " & g t ; & l t ; C o l u m n & g t ; 1 1 6 & l t ; / C o l u m n & g t ; & l t ; L a y e d O u t & g t ; t r u e & l t ; / L a y e d O u t & g t ; & l t ; / a : V a l u e & g t ; & l t ; / a : K e y V a l u e O f D i a g r a m O b j e c t K e y a n y T y p e z b w N T n L X & g t ; & l t ; a : K e y V a l u e O f D i a g r a m O b j e c t K e y a n y T y p e z b w N T n L X & g t ; & l t ; a : K e y & g t ; & l t ; K e y & g t ; C o l u m n s \ C o l u m n 1 1 8 & l t ; / K e y & g t ; & l t ; / a : K e y & g t ; & l t ; a : V a l u e   i : t y p e = " M e a s u r e G r i d N o d e V i e w S t a t e " & g t ; & l t ; C o l u m n & g t ; 1 1 7 & l t ; / C o l u m n & g t ; & l t ; L a y e d O u t & g t ; t r u e & l t ; / L a y e d O u t & g t ; & l t ; / a : V a l u e & g t ; & l t ; / a : K e y V a l u e O f D i a g r a m O b j e c t K e y a n y T y p e z b w N T n L X & g t ; & l t ; a : K e y V a l u e O f D i a g r a m O b j e c t K e y a n y T y p e z b w N T n L X & g t ; & l t ; a : K e y & g t ; & l t ; K e y & g t ; C o l u m n s \ C o l u m n 1 1 9 & l t ; / K e y & g t ; & l t ; / a : K e y & g t ; & l t ; a : V a l u e   i : t y p e = " M e a s u r e G r i d N o d e V i e w S t a t e " & g t ; & l t ; C o l u m n & g t ; 1 1 8 & l t ; / C o l u m n & g t ; & l t ; L a y e d O u t & g t ; t r u e & l t ; / L a y e d O u t & g t ; & l t ; / a : V a l u e & g t ; & l t ; / a : K e y V a l u e O f D i a g r a m O b j e c t K e y a n y T y p e z b w N T n L X & g t ; & l t ; a : K e y V a l u e O f D i a g r a m O b j e c t K e y a n y T y p e z b w N T n L X & g t ; & l t ; a : K e y & g t ; & l t ; K e y & g t ; C o l u m n s \ C o l u m n 1 2 0 & l t ; / K e y & g t ; & l t ; / a : K e y & g t ; & l t ; a : V a l u e   i : t y p e = " M e a s u r e G r i d N o d e V i e w S t a t e " & g t ; & l t ; C o l u m n & g t ; 1 1 9 & l t ; / C o l u m n & g t ; & l t ; L a y e d O u t & g t ; t r u e & l t ; / L a y e d O u t & g t ; & l t ; / a : V a l u e & g t ; & l t ; / a : K e y V a l u e O f D i a g r a m O b j e c t K e y a n y T y p e z b w N T n L X & g t ; & l t ; a : K e y V a l u e O f D i a g r a m O b j e c t K e y a n y T y p e z b w N T n L X & g t ; & l t ; a : K e y & g t ; & l t ; K e y & g t ; C o l u m n s \ C o l u m n 1 2 1 & l t ; / K e y & g t ; & l t ; / a : K e y & g t ; & l t ; a : V a l u e   i : t y p e = " M e a s u r e G r i d N o d e V i e w S t a t e " & g t ; & l t ; C o l u m n & g t ; 1 2 0 & l t ; / C o l u m n & g t ; & l t ; L a y e d O u t & g t ; t r u e & l t ; / L a y e d O u t & g t ; & l t ; / a : V a l u e & g t ; & l t ; / a : K e y V a l u e O f D i a g r a m O b j e c t K e y a n y T y p e z b w N T n L X & g t ; & l t ; a : K e y V a l u e O f D i a g r a m O b j e c t K e y a n y T y p e z b w N T n L X & g t ; & l t ; a : K e y & g t ; & l t ; K e y & g t ; C o l u m n s \ C o l u m n 1 2 2 & l t ; / K e y & g t ; & l t ; / a : K e y & g t ; & l t ; a : V a l u e   i : t y p e = " M e a s u r e G r i d N o d e V i e w S t a t e " & g t ; & l t ; C o l u m n & g t ; 1 2 1 & l t ; / C o l u m n & g t ; & l t ; L a y e d O u t & g t ; t r u e & l t ; / L a y e d O u t & g t ; & l t ; / a : V a l u e & g t ; & l t ; / a : K e y V a l u e O f D i a g r a m O b j e c t K e y a n y T y p e z b w N T n L X & g t ; & l t ; a : K e y V a l u e O f D i a g r a m O b j e c t K e y a n y T y p e z b w N T n L X & g t ; & l t ; a : K e y & g t ; & l t ; K e y & g t ; C o l u m n s \ C o l u m n 1 2 3 & l t ; / K e y & g t ; & l t ; / a : K e y & g t ; & l t ; a : V a l u e   i : t y p e = " M e a s u r e G r i d N o d e V i e w S t a t e " & g t ; & l t ; C o l u m n & g t ; 1 2 2 & l t ; / C o l u m n & g t ; & l t ; L a y e d O u t & g t ; t r u e & l t ; / L a y e d O u t & g t ; & l t ; / a : V a l u e & g t ; & l t ; / a : K e y V a l u e O f D i a g r a m O b j e c t K e y a n y T y p e z b w N T n L X & g t ; & l t ; a : K e y V a l u e O f D i a g r a m O b j e c t K e y a n y T y p e z b w N T n L X & g t ; & l t ; a : K e y & g t ; & l t ; K e y & g t ; C o l u m n s \ C o l u m n 1 2 4 & l t ; / K e y & g t ; & l t ; / a : K e y & g t ; & l t ; a : V a l u e   i : t y p e = " M e a s u r e G r i d N o d e V i e w S t a t e " & g t ; & l t ; C o l u m n & g t ; 1 2 3 & l t ; / C o l u m n & g t ; & l t ; L a y e d O u t & g t ; t r u e & l t ; / L a y e d O u t & g t ; & l t ; / a : V a l u e & g t ; & l t ; / a : K e y V a l u e O f D i a g r a m O b j e c t K e y a n y T y p e z b w N T n L X & g t ; & l t ; a : K e y V a l u e O f D i a g r a m O b j e c t K e y a n y T y p e z b w N T n L X & g t ; & l t ; a : K e y & g t ; & l t ; K e y & g t ; C o l u m n s \ C o l u m n 1 2 5 & l t ; / K e y & g t ; & l t ; / a : K e y & g t ; & l t ; a : V a l u e   i : t y p e = " M e a s u r e G r i d N o d e V i e w S t a t e " & g t ; & l t ; C o l u m n & g t ; 1 2 4 & l t ; / C o l u m n & g t ; & l t ; L a y e d O u t & g t ; t r u e & l t ; / L a y e d O u t & g t ; & l t ; / a : V a l u e & g t ; & l t ; / a : K e y V a l u e O f D i a g r a m O b j e c t K e y a n y T y p e z b w N T n L X & g t ; & l t ; a : K e y V a l u e O f D i a g r a m O b j e c t K e y a n y T y p e z b w N T n L X & g t ; & l t ; a : K e y & g t ; & l t ; K e y & g t ; C o l u m n s \ C o l u m n 1 2 6 & l t ; / K e y & g t ; & l t ; / a : K e y & g t ; & l t ; a : V a l u e   i : t y p e = " M e a s u r e G r i d N o d e V i e w S t a t e " & g t ; & l t ; C o l u m n & g t ; 1 2 5 & l t ; / C o l u m n & g t ; & l t ; L a y e d O u t & g t ; t r u e & l t ; / L a y e d O u t & g t ; & l t ; / a : V a l u e & g t ; & l t ; / a : K e y V a l u e O f D i a g r a m O b j e c t K e y a n y T y p e z b w N T n L X & g t ; & l t ; a : K e y V a l u e O f D i a g r a m O b j e c t K e y a n y T y p e z b w N T n L X & g t ; & l t ; a : K e y & g t ; & l t ; K e y & g t ; C o l u m n s \ C o l u m n 1 2 7 & l t ; / K e y & g t ; & l t ; / a : K e y & g t ; & l t ; a : V a l u e   i : t y p e = " M e a s u r e G r i d N o d e V i e w S t a t e " & g t ; & l t ; C o l u m n & g t ; 1 2 6 & l t ; / C o l u m n & g t ; & l t ; L a y e d O u t & g t ; t r u e & l t ; / L a y e d O u t & g t ; & l t ; / a : V a l u e & g t ; & l t ; / a : K e y V a l u e O f D i a g r a m O b j e c t K e y a n y T y p e z b w N T n L X & g t ; & l t ; a : K e y V a l u e O f D i a g r a m O b j e c t K e y a n y T y p e z b w N T n L X & g t ; & l t ; a : K e y & g t ; & l t ; K e y & g t ; C o l u m n s \ C o l u m n 1 2 8 & l t ; / K e y & g t ; & l t ; / a : K e y & g t ; & l t ; a : V a l u e   i : t y p e = " M e a s u r e G r i d N o d e V i e w S t a t e " & g t ; & l t ; C o l u m n & g t ; 1 2 7 & l t ; / C o l u m n & g t ; & l t ; L a y e d O u t & g t ; t r u e & l t ; / L a y e d O u t & g t ; & l t ; / a : V a l u e & g t ; & l t ; / a : K e y V a l u e O f D i a g r a m O b j e c t K e y a n y T y p e z b w N T n L X & g t ; & l t ; a : K e y V a l u e O f D i a g r a m O b j e c t K e y a n y T y p e z b w N T n L X & g t ; & l t ; a : K e y & g t ; & l t ; K e y & g t ; C o l u m n s \ C o l u m n 1 2 9 & l t ; / K e y & g t ; & l t ; / a : K e y & g t ; & l t ; a : V a l u e   i : t y p e = " M e a s u r e G r i d N o d e V i e w S t a t e " & g t ; & l t ; C o l u m n & g t ; 1 2 8 & l t ; / C o l u m n & g t ; & l t ; L a y e d O u t & g t ; t r u e & l t ; / L a y e d O u t & g t ; & l t ; / a : V a l u e & g t ; & l t ; / a : K e y V a l u e O f D i a g r a m O b j e c t K e y a n y T y p e z b w N T n L X & g t ; & l t ; a : K e y V a l u e O f D i a g r a m O b j e c t K e y a n y T y p e z b w N T n L X & g t ; & l t ; a : K e y & g t ; & l t ; K e y & g t ; C o l u m n s \ C o l u m n 1 3 0 & l t ; / K e y & g t ; & l t ; / a : K e y & g t ; & l t ; a : V a l u e   i : t y p e = " M e a s u r e G r i d N o d e V i e w S t a t e " & g t ; & l t ; C o l u m n & g t ; 1 2 9 & l t ; / C o l u m n & g t ; & l t ; L a y e d O u t & g t ; t r u e & l t ; / L a y e d O u t & g t ; & l t ; / a : V a l u e & g t ; & l t ; / a : K e y V a l u e O f D i a g r a m O b j e c t K e y a n y T y p e z b w N T n L X & g t ; & l t ; a : K e y V a l u e O f D i a g r a m O b j e c t K e y a n y T y p e z b w N T n L X & g t ; & l t ; a : K e y & g t ; & l t ; K e y & g t ; C o l u m n s \ C o l u m n 1 3 1 & l t ; / K e y & g t ; & l t ; / a : K e y & g t ; & l t ; a : V a l u e   i : t y p e = " M e a s u r e G r i d N o d e V i e w S t a t e " & g t ; & l t ; C o l u m n & g t ; 1 3 0 & l t ; / C o l u m n & g t ; & l t ; L a y e d O u t & g t ; t r u e & l t ; / L a y e d O u t & g t ; & l t ; / a : V a l u e & g t ; & l t ; / a : K e y V a l u e O f D i a g r a m O b j e c t K e y a n y T y p e z b w N T n L X & g t ; & l t ; a : K e y V a l u e O f D i a g r a m O b j e c t K e y a n y T y p e z b w N T n L X & g t ; & l t ; a : K e y & g t ; & l t ; K e y & g t ; C o l u m n s \ C o l u m n 1 3 2 & l t ; / K e y & g t ; & l t ; / a : K e y & g t ; & l t ; a : V a l u e   i : t y p e = " M e a s u r e G r i d N o d e V i e w S t a t e " & g t ; & l t ; C o l u m n & g t ; 1 3 1 & l t ; / C o l u m n & g t ; & l t ; L a y e d O u t & g t ; t r u e & l t ; / L a y e d O u t & g t ; & l t ; / a : V a l u e & g t ; & l t ; / a : K e y V a l u e O f D i a g r a m O b j e c t K e y a n y T y p e z b w N T n L X & g t ; & l t ; a : K e y V a l u e O f D i a g r a m O b j e c t K e y a n y T y p e z b w N T n L X & g t ; & l t ; a : K e y & g t ; & l t ; K e y & g t ; C o l u m n s \ C o l u m n 1 3 3 & l t ; / K e y & g t ; & l t ; / a : K e y & g t ; & l t ; a : V a l u e   i : t y p e = " M e a s u r e G r i d N o d e V i e w S t a t e " & g t ; & l t ; C o l u m n & g t ; 1 3 2 & l t ; / C o l u m n & g t ; & l t ; L a y e d O u t & g t ; t r u e & l t ; / L a y e d O u t & g t ; & l t ; / a : V a l u e & g t ; & l t ; / a : K e y V a l u e O f D i a g r a m O b j e c t K e y a n y T y p e z b w N T n L X & g t ; & l t ; a : K e y V a l u e O f D i a g r a m O b j e c t K e y a n y T y p e z b w N T n L X & g t ; & l t ; a : K e y & g t ; & l t ; K e y & g t ; C o l u m n s \ C o l u m n 1 3 4 & l t ; / K e y & g t ; & l t ; / a : K e y & g t ; & l t ; a : V a l u e   i : t y p e = " M e a s u r e G r i d N o d e V i e w S t a t e " & g t ; & l t ; C o l u m n & g t ; 1 3 3 & l t ; / C o l u m n & g t ; & l t ; L a y e d O u t & g t ; t r u e & l t ; / L a y e d O u t & g t ; & l t ; / a : V a l u e & g t ; & l t ; / a : K e y V a l u e O f D i a g r a m O b j e c t K e y a n y T y p e z b w N T n L X & g t ; & l t ; a : K e y V a l u e O f D i a g r a m O b j e c t K e y a n y T y p e z b w N T n L X & g t ; & l t ; a : K e y & g t ; & l t ; K e y & g t ; C o l u m n s \ C o l u m n 1 3 5 & l t ; / K e y & g t ; & l t ; / a : K e y & g t ; & l t ; a : V a l u e   i : t y p e = " M e a s u r e G r i d N o d e V i e w S t a t e " & g t ; & l t ; C o l u m n & g t ; 1 3 4 & l t ; / C o l u m n & g t ; & l t ; L a y e d O u t & g t ; t r u e & l t ; / L a y e d O u t & g t ; & l t ; / a : V a l u e & g t ; & l t ; / a : K e y V a l u e O f D i a g r a m O b j e c t K e y a n y T y p e z b w N T n L X & g t ; & l t ; a : K e y V a l u e O f D i a g r a m O b j e c t K e y a n y T y p e z b w N T n L X & g t ; & l t ; a : K e y & g t ; & l t ; K e y & g t ; C o l u m n s \ C o l u m n 1 3 6 & l t ; / K e y & g t ; & l t ; / a : K e y & g t ; & l t ; a : V a l u e   i : t y p e = " M e a s u r e G r i d N o d e V i e w S t a t e " & g t ; & l t ; C o l u m n & g t ; 1 3 5 & l t ; / C o l u m n & g t ; & l t ; L a y e d O u t & g t ; t r u e & l t ; / L a y e d O u t & g t ; & l t ; / a : V a l u e & g t ; & l t ; / a : K e y V a l u e O f D i a g r a m O b j e c t K e y a n y T y p e z b w N T n L X & g t ; & l t ; a : K e y V a l u e O f D i a g r a m O b j e c t K e y a n y T y p e z b w N T n L X & g t ; & l t ; a : K e y & g t ; & l t ; K e y & g t ; C o l u m n s \ C o l u m n 1 3 7 & l t ; / K e y & g t ; & l t ; / a : K e y & g t ; & l t ; a : V a l u e   i : t y p e = " M e a s u r e G r i d N o d e V i e w S t a t e " & g t ; & l t ; C o l u m n & g t ; 1 3 6 & l t ; / C o l u m n & g t ; & l t ; L a y e d O u t & g t ; t r u e & l t ; / L a y e d O u t & g t ; & l t ; / a : V a l u e & g t ; & l t ; / a : K e y V a l u e O f D i a g r a m O b j e c t K e y a n y T y p e z b w N T n L X & g t ; & l t ; a : K e y V a l u e O f D i a g r a m O b j e c t K e y a n y T y p e z b w N T n L X & g t ; & l t ; a : K e y & g t ; & l t ; K e y & g t ; C o l u m n s \ C o l u m n 1 3 8 & l t ; / K e y & g t ; & l t ; / a : K e y & g t ; & l t ; a : V a l u e   i : t y p e = " M e a s u r e G r i d N o d e V i e w S t a t e " & g t ; & l t ; C o l u m n & g t ; 1 3 7 & l t ; / C o l u m n & g t ; & l t ; L a y e d O u t & g t ; t r u e & l t ; / L a y e d O u t & g t ; & l t ; / a : V a l u e & g t ; & l t ; / a : K e y V a l u e O f D i a g r a m O b j e c t K e y a n y T y p e z b w N T n L X & g t ; & l t ; a : K e y V a l u e O f D i a g r a m O b j e c t K e y a n y T y p e z b w N T n L X & g t ; & l t ; a : K e y & g t ; & l t ; K e y & g t ; C o l u m n s \ C o l u m n 1 3 9 & l t ; / K e y & g t ; & l t ; / a : K e y & g t ; & l t ; a : V a l u e   i : t y p e = " M e a s u r e G r i d N o d e V i e w S t a t e " & g t ; & l t ; C o l u m n & g t ; 1 3 8 & l t ; / C o l u m n & g t ; & l t ; L a y e d O u t & g t ; t r u e & l t ; / L a y e d O u t & g t ; & l t ; / a : V a l u e & g t ; & l t ; / a : K e y V a l u e O f D i a g r a m O b j e c t K e y a n y T y p e z b w N T n L X & g t ; & l t ; a : K e y V a l u e O f D i a g r a m O b j e c t K e y a n y T y p e z b w N T n L X & g t ; & l t ; a : K e y & g t ; & l t ; K e y & g t ; C o l u m n s \ C o l u m n 1 4 0 & l t ; / K e y & g t ; & l t ; / a : K e y & g t ; & l t ; a : V a l u e   i : t y p e = " M e a s u r e G r i d N o d e V i e w S t a t e " & g t ; & l t ; C o l u m n & g t ; 1 3 9 & l t ; / C o l u m n & g t ; & l t ; L a y e d O u t & g t ; t r u e & l t ; / L a y e d O u t & g t ; & l t ; / a : V a l u e & g t ; & l t ; / a : K e y V a l u e O f D i a g r a m O b j e c t K e y a n y T y p e z b w N T n L X & g t ; & l t ; a : K e y V a l u e O f D i a g r a m O b j e c t K e y a n y T y p e z b w N T n L X & g t ; & l t ; a : K e y & g t ; & l t ; K e y & g t ; C o l u m n s \ C o l u m n 1 4 1 & l t ; / K e y & g t ; & l t ; / a : K e y & g t ; & l t ; a : V a l u e   i : t y p e = " M e a s u r e G r i d N o d e V i e w S t a t e " & g t ; & l t ; C o l u m n & g t ; 1 4 0 & l t ; / C o l u m n & g t ; & l t ; L a y e d O u t & g t ; t r u e & l t ; / L a y e d O u t & g t ; & l t ; / a : V a l u e & g t ; & l t ; / a : K e y V a l u e O f D i a g r a m O b j e c t K e y a n y T y p e z b w N T n L X & g t ; & l t ; a : K e y V a l u e O f D i a g r a m O b j e c t K e y a n y T y p e z b w N T n L X & g t ; & l t ; a : K e y & g t ; & l t ; K e y & g t ; C o l u m n s \ C o l u m n 1 4 2 & l t ; / K e y & g t ; & l t ; / a : K e y & g t ; & l t ; a : V a l u e   i : t y p e = " M e a s u r e G r i d N o d e V i e w S t a t e " & g t ; & l t ; C o l u m n & g t ; 1 4 1 & l t ; / C o l u m n & g t ; & l t ; L a y e d O u t & g t ; t r u e & l t ; / L a y e d O u t & g t ; & l t ; / a : V a l u e & g t ; & l t ; / a : K e y V a l u e O f D i a g r a m O b j e c t K e y a n y T y p e z b w N T n L X & g t ; & l t ; a : K e y V a l u e O f D i a g r a m O b j e c t K e y a n y T y p e z b w N T n L X & g t ; & l t ; a : K e y & g t ; & l t ; K e y & g t ; C o l u m n s \ C o l u m n 1 4 3 & l t ; / K e y & g t ; & l t ; / a : K e y & g t ; & l t ; a : V a l u e   i : t y p e = " M e a s u r e G r i d N o d e V i e w S t a t e " & g t ; & l t ; C o l u m n & g t ; 1 4 2 & l t ; / C o l u m n & g t ; & l t ; L a y e d O u t & g t ; t r u e & l t ; / L a y e d O u t & g t ; & l t ; / a : V a l u e & g t ; & l t ; / a : K e y V a l u e O f D i a g r a m O b j e c t K e y a n y T y p e z b w N T n L X & g t ; & l t ; a : K e y V a l u e O f D i a g r a m O b j e c t K e y a n y T y p e z b w N T n L X & g t ; & l t ; a : K e y & g t ; & l t ; K e y & g t ; C o l u m n s \ C o l u m n 1 4 4 & l t ; / K e y & g t ; & l t ; / a : K e y & g t ; & l t ; a : V a l u e   i : t y p e = " M e a s u r e G r i d N o d e V i e w S t a t e " & g t ; & l t ; C o l u m n & g t ; 1 4 3 & l t ; / C o l u m n & g t ; & l t ; L a y e d O u t & g t ; t r u e & l t ; / L a y e d O u t & g t ; & l t ; / a : V a l u e & g t ; & l t ; / a : K e y V a l u e O f D i a g r a m O b j e c t K e y a n y T y p e z b w N T n L X & g t ; & l t ; a : K e y V a l u e O f D i a g r a m O b j e c t K e y a n y T y p e z b w N T n L X & g t ; & l t ; a : K e y & g t ; & l t ; K e y & g t ; C o l u m n s \ C o l u m n 1 4 5 & l t ; / K e y & g t ; & l t ; / a : K e y & g t ; & l t ; a : V a l u e   i : t y p e = " M e a s u r e G r i d N o d e V i e w S t a t e " & g t ; & l t ; C o l u m n & g t ; 1 4 4 & l t ; / C o l u m n & g t ; & l t ; L a y e d O u t & g t ; t r u e & l t ; / L a y e d O u t & g t ; & l t ; / a : V a l u e & g t ; & l t ; / a : K e y V a l u e O f D i a g r a m O b j e c t K e y a n y T y p e z b w N T n L X & g t ; & l t ; a : K e y V a l u e O f D i a g r a m O b j e c t K e y a n y T y p e z b w N T n L X & g t ; & l t ; a : K e y & g t ; & l t ; K e y & g t ; C o l u m n s \ C o l u m n 1 4 6 & l t ; / K e y & g t ; & l t ; / a : K e y & g t ; & l t ; a : V a l u e   i : t y p e = " M e a s u r e G r i d N o d e V i e w S t a t e " & g t ; & l t ; C o l u m n & g t ; 1 4 5 & l t ; / C o l u m n & g t ; & l t ; L a y e d O u t & g t ; t r u e & l t ; / L a y e d O u t & g t ; & l t ; / a : V a l u e & g t ; & l t ; / a : K e y V a l u e O f D i a g r a m O b j e c t K e y a n y T y p e z b w N T n L X & g t ; & l t ; a : K e y V a l u e O f D i a g r a m O b j e c t K e y a n y T y p e z b w N T n L X & g t ; & l t ; a : K e y & g t ; & l t ; K e y & g t ; C o l u m n s \ C o l u m n 1 4 7 & l t ; / K e y & g t ; & l t ; / a : K e y & g t ; & l t ; a : V a l u e   i : t y p e = " M e a s u r e G r i d N o d e V i e w S t a t e " & g t ; & l t ; C o l u m n & g t ; 1 4 6 & l t ; / C o l u m n & g t ; & l t ; L a y e d O u t & g t ; t r u e & l t ; / L a y e d O u t & g t ; & l t ; / a : V a l u e & g t ; & l t ; / a : K e y V a l u e O f D i a g r a m O b j e c t K e y a n y T y p e z b w N T n L X & g t ; & l t ; a : K e y V a l u e O f D i a g r a m O b j e c t K e y a n y T y p e z b w N T n L X & g t ; & l t ; a : K e y & g t ; & l t ; K e y & g t ; C o l u m n s \ C o l u m n 1 4 8 & l t ; / K e y & g t ; & l t ; / a : K e y & g t ; & l t ; a : V a l u e   i : t y p e = " M e a s u r e G r i d N o d e V i e w S t a t e " & g t ; & l t ; C o l u m n & g t ; 1 4 7 & l t ; / C o l u m n & g t ; & l t ; L a y e d O u t & g t ; t r u e & l t ; / L a y e d O u t & g t ; & l t ; / a : V a l u e & g t ; & l t ; / a : K e y V a l u e O f D i a g r a m O b j e c t K e y a n y T y p e z b w N T n L X & g t ; & l t ; a : K e y V a l u e O f D i a g r a m O b j e c t K e y a n y T y p e z b w N T n L X & g t ; & l t ; a : K e y & g t ; & l t ; K e y & g t ; C o l u m n s \ C o l u m n 1 4 9 & l t ; / K e y & g t ; & l t ; / a : K e y & g t ; & l t ; a : V a l u e   i : t y p e = " M e a s u r e G r i d N o d e V i e w S t a t e " & g t ; & l t ; C o l u m n & g t ; 1 4 8 & l t ; / C o l u m n & g t ; & l t ; L a y e d O u t & g t ; t r u e & l t ; / L a y e d O u t & g t ; & l t ; / a : V a l u e & g t ; & l t ; / a : K e y V a l u e O f D i a g r a m O b j e c t K e y a n y T y p e z b w N T n L X & g t ; & l t ; a : K e y V a l u e O f D i a g r a m O b j e c t K e y a n y T y p e z b w N T n L X & g t ; & l t ; a : K e y & g t ; & l t ; K e y & g t ; C o l u m n s \ C o l u m n 1 5 0 & l t ; / K e y & g t ; & l t ; / a : K e y & g t ; & l t ; a : V a l u e   i : t y p e = " M e a s u r e G r i d N o d e V i e w S t a t e " & g t ; & l t ; C o l u m n & g t ; 1 4 9 & l t ; / C o l u m n & g t ; & l t ; L a y e d O u t & g t ; t r u e & l t ; / L a y e d O u t & g t ; & l t ; / a : V a l u e & g t ; & l t ; / a : K e y V a l u e O f D i a g r a m O b j e c t K e y a n y T y p e z b w N T n L X & g t ; & l t ; a : K e y V a l u e O f D i a g r a m O b j e c t K e y a n y T y p e z b w N T n L X & g t ; & l t ; a : K e y & g t ; & l t ; K e y & g t ; C o l u m n s \ C o l u m n 1 5 1 & l t ; / K e y & g t ; & l t ; / a : K e y & g t ; & l t ; a : V a l u e   i : t y p e = " M e a s u r e G r i d N o d e V i e w S t a t e " & g t ; & l t ; C o l u m n & g t ; 1 5 0 & l t ; / C o l u m n & g t ; & l t ; L a y e d O u t & g t ; t r u e & l t ; / L a y e d O u t & g t ; & l t ; / a : V a l u e & g t ; & l t ; / a : K e y V a l u e O f D i a g r a m O b j e c t K e y a n y T y p e z b w N T n L X & g t ; & l t ; a : K e y V a l u e O f D i a g r a m O b j e c t K e y a n y T y p e z b w N T n L X & g t ; & l t ; a : K e y & g t ; & l t ; K e y & g t ; C o l u m n s \ C o l u m n 1 5 2 & l t ; / K e y & g t ; & l t ; / a : K e y & g t ; & l t ; a : V a l u e   i : t y p e = " M e a s u r e G r i d N o d e V i e w S t a t e " & g t ; & l t ; C o l u m n & g t ; 1 5 1 & l t ; / C o l u m n & g t ; & l t ; L a y e d O u t & g t ; t r u e & l t ; / L a y e d O u t & g t ; & l t ; / a : V a l u e & g t ; & l t ; / a : K e y V a l u e O f D i a g r a m O b j e c t K e y a n y T y p e z b w N T n L X & g t ; & l t ; a : K e y V a l u e O f D i a g r a m O b j e c t K e y a n y T y p e z b w N T n L X & g t ; & l t ; a : K e y & g t ; & l t ; K e y & g t ; C o l u m n s \ C o l u m n 1 5 3 & l t ; / K e y & g t ; & l t ; / a : K e y & g t ; & l t ; a : V a l u e   i : t y p e = " M e a s u r e G r i d N o d e V i e w S t a t e " & g t ; & l t ; C o l u m n & g t ; 1 5 2 & l t ; / C o l u m n & g t ; & l t ; L a y e d O u t & g t ; t r u e & l t ; / L a y e d O u t & g t ; & l t ; / a : V a l u e & g t ; & l t ; / a : K e y V a l u e O f D i a g r a m O b j e c t K e y a n y T y p e z b w N T n L X & g t ; & l t ; a : K e y V a l u e O f D i a g r a m O b j e c t K e y a n y T y p e z b w N T n L X & g t ; & l t ; a : K e y & g t ; & l t ; K e y & g t ; C o l u m n s \ C o l u m n 1 5 4 & l t ; / K e y & g t ; & l t ; / a : K e y & g t ; & l t ; a : V a l u e   i : t y p e = " M e a s u r e G r i d N o d e V i e w S t a t e " & g t ; & l t ; C o l u m n & g t ; 1 5 3 & l t ; / C o l u m n & g t ; & l t ; L a y e d O u t & g t ; t r u e & l t ; / L a y e d O u t & g t ; & l t ; / a : V a l u e & g t ; & l t ; / a : K e y V a l u e O f D i a g r a m O b j e c t K e y a n y T y p e z b w N T n L X & g t ; & l t ; a : K e y V a l u e O f D i a g r a m O b j e c t K e y a n y T y p e z b w N T n L X & g t ; & l t ; a : K e y & g t ; & l t ; K e y & g t ; C o l u m n s \ C o l u m n 1 5 5 & l t ; / K e y & g t ; & l t ; / a : K e y & g t ; & l t ; a : V a l u e   i : t y p e = " M e a s u r e G r i d N o d e V i e w S t a t e " & g t ; & l t ; C o l u m n & g t ; 1 5 4 & l t ; / C o l u m n & g t ; & l t ; L a y e d O u t & g t ; t r u e & l t ; / L a y e d O u t & g t ; & l t ; / a : V a l u e & g t ; & l t ; / a : K e y V a l u e O f D i a g r a m O b j e c t K e y a n y T y p e z b w N T n L X & g t ; & l t ; a : K e y V a l u e O f D i a g r a m O b j e c t K e y a n y T y p e z b w N T n L X & g t ; & l t ; a : K e y & g t ; & l t ; K e y & g t ; C o l u m n s \ C o l u m n 1 5 6 & l t ; / K e y & g t ; & l t ; / a : K e y & g t ; & l t ; a : V a l u e   i : t y p e = " M e a s u r e G r i d N o d e V i e w S t a t e " & g t ; & l t ; C o l u m n & g t ; 1 5 5 & l t ; / C o l u m n & g t ; & l t ; L a y e d O u t & g t ; t r u e & l t ; / L a y e d O u t & g t ; & l t ; / a : V a l u e & g t ; & l t ; / a : K e y V a l u e O f D i a g r a m O b j e c t K e y a n y T y p e z b w N T n L X & g t ; & l t ; a : K e y V a l u e O f D i a g r a m O b j e c t K e y a n y T y p e z b w N T n L X & g t ; & l t ; a : K e y & g t ; & l t ; K e y & g t ; C o l u m n s \ C o l u m n 1 5 7 & l t ; / K e y & g t ; & l t ; / a : K e y & g t ; & l t ; a : V a l u e   i : t y p e = " M e a s u r e G r i d N o d e V i e w S t a t e " & g t ; & l t ; C o l u m n & g t ; 1 5 6 & l t ; / C o l u m n & g t ; & l t ; L a y e d O u t & g t ; t r u e & l t ; / L a y e d O u t & g t ; & l t ; / a : V a l u e & g t ; & l t ; / a : K e y V a l u e O f D i a g r a m O b j e c t K e y a n y T y p e z b w N T n L X & g t ; & l t ; a : K e y V a l u e O f D i a g r a m O b j e c t K e y a n y T y p e z b w N T n L X & g t ; & l t ; a : K e y & g t ; & l t ; K e y & g t ; C o l u m n s \ C o l u m n 1 5 8 & l t ; / K e y & g t ; & l t ; / a : K e y & g t ; & l t ; a : V a l u e   i : t y p e = " M e a s u r e G r i d N o d e V i e w S t a t e " & g t ; & l t ; C o l u m n & g t ; 1 5 7 & l t ; / C o l u m n & g t ; & l t ; L a y e d O u t & g t ; t r u e & l t ; / L a y e d O u t & g t ; & l t ; / a : V a l u e & g t ; & l t ; / a : K e y V a l u e O f D i a g r a m O b j e c t K e y a n y T y p e z b w N T n L X & g t ; & l t ; a : K e y V a l u e O f D i a g r a m O b j e c t K e y a n y T y p e z b w N T n L X & g t ; & l t ; a : K e y & g t ; & l t ; K e y & g t ; C o l u m n s \ C o l u m n 1 5 9 & l t ; / K e y & g t ; & l t ; / a : K e y & g t ; & l t ; a : V a l u e   i : t y p e = " M e a s u r e G r i d N o d e V i e w S t a t e " & g t ; & l t ; C o l u m n & g t ; 1 5 8 & l t ; / C o l u m n & g t ; & l t ; L a y e d O u t & g t ; t r u e & l t ; / L a y e d O u t & g t ; & l t ; / a : V a l u e & g t ; & l t ; / a : K e y V a l u e O f D i a g r a m O b j e c t K e y a n y T y p e z b w N T n L X & g t ; & l t ; a : K e y V a l u e O f D i a g r a m O b j e c t K e y a n y T y p e z b w N T n L X & g t ; & l t ; a : K e y & g t ; & l t ; K e y & g t ; C o l u m n s \ C o l u m n 1 6 0 & l t ; / K e y & g t ; & l t ; / a : K e y & g t ; & l t ; a : V a l u e   i : t y p e = " M e a s u r e G r i d N o d e V i e w S t a t e " & g t ; & l t ; C o l u m n & g t ; 1 5 9 & l t ; / C o l u m n & g t ; & l t ; L a y e d O u t & g t ; t r u e & l t ; / L a y e d O u t & g t ; & l t ; / a : V a l u e & g t ; & l t ; / a : K e y V a l u e O f D i a g r a m O b j e c t K e y a n y T y p e z b w N T n L X & g t ; & l t ; a : K e y V a l u e O f D i a g r a m O b j e c t K e y a n y T y p e z b w N T n L X & g t ; & l t ; a : K e y & g t ; & l t ; K e y & g t ; C o l u m n s \ C o l u m n 1 6 1 & l t ; / K e y & g t ; & l t ; / a : K e y & g t ; & l t ; a : V a l u e   i : t y p e = " M e a s u r e G r i d N o d e V i e w S t a t e " & g t ; & l t ; C o l u m n & g t ; 1 6 0 & l t ; / C o l u m n & g t ; & l t ; L a y e d O u t & g t ; t r u e & l t ; / L a y e d O u t & g t ; & l t ; / a : V a l u e & g t ; & l t ; / a : K e y V a l u e O f D i a g r a m O b j e c t K e y a n y T y p e z b w N T n L X & g t ; & l t ; a : K e y V a l u e O f D i a g r a m O b j e c t K e y a n y T y p e z b w N T n L X & g t ; & l t ; a : K e y & g t ; & l t ; K e y & g t ; C o l u m n s \ C o l u m n 1 6 2 & l t ; / K e y & g t ; & l t ; / a : K e y & g t ; & l t ; a : V a l u e   i : t y p e = " M e a s u r e G r i d N o d e V i e w S t a t e " & g t ; & l t ; C o l u m n & g t ; 1 6 1 & l t ; / C o l u m n & g t ; & l t ; L a y e d O u t & g t ; t r u e & l t ; / L a y e d O u t & g t ; & l t ; / a : V a l u e & g t ; & l t ; / a : K e y V a l u e O f D i a g r a m O b j e c t K e y a n y T y p e z b w N T n L X & g t ; & l t ; a : K e y V a l u e O f D i a g r a m O b j e c t K e y a n y T y p e z b w N T n L X & g t ; & l t ; a : K e y & g t ; & l t ; K e y & g t ; C o l u m n s \ C o l u m n 1 6 3 & l t ; / K e y & g t ; & l t ; / a : K e y & g t ; & l t ; a : V a l u e   i : t y p e = " M e a s u r e G r i d N o d e V i e w S t a t e " & g t ; & l t ; C o l u m n & g t ; 1 6 2 & l t ; / C o l u m n & g t ; & l t ; L a y e d O u t & g t ; t r u e & l t ; / L a y e d O u t & g t ; & l t ; / a : V a l u e & g t ; & l t ; / a : K e y V a l u e O f D i a g r a m O b j e c t K e y a n y T y p e z b w N T n L X & g t ; & l t ; a : K e y V a l u e O f D i a g r a m O b j e c t K e y a n y T y p e z b w N T n L X & g t ; & l t ; a : K e y & g t ; & l t ; K e y & g t ; C o l u m n s \ C o l u m n 1 6 4 & l t ; / K e y & g t ; & l t ; / a : K e y & g t ; & l t ; a : V a l u e   i : t y p e = " M e a s u r e G r i d N o d e V i e w S t a t e " & g t ; & l t ; C o l u m n & g t ; 1 6 3 & l t ; / C o l u m n & g t ; & l t ; L a y e d O u t & g t ; t r u e & l t ; / L a y e d O u t & g t ; & l t ; / a : V a l u e & g t ; & l t ; / a : K e y V a l u e O f D i a g r a m O b j e c t K e y a n y T y p e z b w N T n L X & g t ; & l t ; a : K e y V a l u e O f D i a g r a m O b j e c t K e y a n y T y p e z b w N T n L X & g t ; & l t ; a : K e y & g t ; & l t ; K e y & g t ; C o l u m n s \ C o l u m n 1 6 5 & l t ; / K e y & g t ; & l t ; / a : K e y & g t ; & l t ; a : V a l u e   i : t y p e = " M e a s u r e G r i d N o d e V i e w S t a t e " & g t ; & l t ; C o l u m n & g t ; 1 6 4 & l t ; / C o l u m n & g t ; & l t ; L a y e d O u t & g t ; t r u e & l t ; / L a y e d O u t & g t ; & l t ; / a : V a l u e & g t ; & l t ; / a : K e y V a l u e O f D i a g r a m O b j e c t K e y a n y T y p e z b w N T n L X & g t ; & l t ; a : K e y V a l u e O f D i a g r a m O b j e c t K e y a n y T y p e z b w N T n L X & g t ; & l t ; a : K e y & g t ; & l t ; K e y & g t ; C o l u m n s \ C o l u m n 1 6 6 & l t ; / K e y & g t ; & l t ; / a : K e y & g t ; & l t ; a : V a l u e   i : t y p e = " M e a s u r e G r i d N o d e V i e w S t a t e " & g t ; & l t ; C o l u m n & g t ; 1 6 5 & l t ; / C o l u m n & g t ; & l t ; L a y e d O u t & g t ; t r u e & l t ; / L a y e d O u t & g t ; & l t ; / a : V a l u e & g t ; & l t ; / a : K e y V a l u e O f D i a g r a m O b j e c t K e y a n y T y p e z b w N T n L X & g t ; & l t ; a : K e y V a l u e O f D i a g r a m O b j e c t K e y a n y T y p e z b w N T n L X & g t ; & l t ; a : K e y & g t ; & l t ; K e y & g t ; C o l u m n s \ C o l u m n 1 6 7 & l t ; / K e y & g t ; & l t ; / a : K e y & g t ; & l t ; a : V a l u e   i : t y p e = " M e a s u r e G r i d N o d e V i e w S t a t e " & g t ; & l t ; C o l u m n & g t ; 1 6 6 & l t ; / C o l u m n & g t ; & l t ; L a y e d O u t & g t ; t r u e & l t ; / L a y e d O u t & g t ; & l t ; / a : V a l u e & g t ; & l t ; / a : K e y V a l u e O f D i a g r a m O b j e c t K e y a n y T y p e z b w N T n L X & g t ; & l t ; a : K e y V a l u e O f D i a g r a m O b j e c t K e y a n y T y p e z b w N T n L X & g t ; & l t ; a : K e y & g t ; & l t ; K e y & g t ; C o l u m n s \ C o l u m n 1 6 8 & l t ; / K e y & g t ; & l t ; / a : K e y & g t ; & l t ; a : V a l u e   i : t y p e = " M e a s u r e G r i d N o d e V i e w S t a t e " & g t ; & l t ; C o l u m n & g t ; 1 6 7 & l t ; / C o l u m n & g t ; & l t ; L a y e d O u t & g t ; t r u e & l t ; / L a y e d O u t & g t ; & l t ; / a : V a l u e & g t ; & l t ; / a : K e y V a l u e O f D i a g r a m O b j e c t K e y a n y T y p e z b w N T n L X & g t ; & l t ; a : K e y V a l u e O f D i a g r a m O b j e c t K e y a n y T y p e z b w N T n L X & g t ; & l t ; a : K e y & g t ; & l t ; K e y & g t ; C o l u m n s \ C o l u m n 1 6 9 & l t ; / K e y & g t ; & l t ; / a : K e y & g t ; & l t ; a : V a l u e   i : t y p e = " M e a s u r e G r i d N o d e V i e w S t a t e " & g t ; & l t ; C o l u m n & g t ; 1 6 8 & l t ; / C o l u m n & g t ; & l t ; L a y e d O u t & g t ; t r u e & l t ; / L a y e d O u t & g t ; & l t ; / a : V a l u e & g t ; & l t ; / a : K e y V a l u e O f D i a g r a m O b j e c t K e y a n y T y p e z b w N T n L X & g t ; & l t ; a : K e y V a l u e O f D i a g r a m O b j e c t K e y a n y T y p e z b w N T n L X & g t ; & l t ; a : K e y & g t ; & l t ; K e y & g t ; C o l u m n s \ C o l u m n 1 7 0 & l t ; / K e y & g t ; & l t ; / a : K e y & g t ; & l t ; a : V a l u e   i : t y p e = " M e a s u r e G r i d N o d e V i e w S t a t e " & g t ; & l t ; C o l u m n & g t ; 1 6 9 & l t ; / C o l u m n & g t ; & l t ; L a y e d O u t & g t ; t r u e & l t ; / L a y e d O u t & g t ; & l t ; / a : V a l u e & g t ; & l t ; / a : K e y V a l u e O f D i a g r a m O b j e c t K e y a n y T y p e z b w N T n L X & g t ; & l t ; a : K e y V a l u e O f D i a g r a m O b j e c t K e y a n y T y p e z b w N T n L X & g t ; & l t ; a : K e y & g t ; & l t ; K e y & g t ; C o l u m n s \ C o l u m n 1 7 1 & l t ; / K e y & g t ; & l t ; / a : K e y & g t ; & l t ; a : V a l u e   i : t y p e = " M e a s u r e G r i d N o d e V i e w S t a t e " & g t ; & l t ; C o l u m n & g t ; 1 7 0 & l t ; / C o l u m n & g t ; & l t ; L a y e d O u t & g t ; t r u e & l t ; / L a y e d O u t & g t ; & l t ; / a : V a l u e & g t ; & l t ; / a : K e y V a l u e O f D i a g r a m O b j e c t K e y a n y T y p e z b w N T n L X & g t ; & l t ; a : K e y V a l u e O f D i a g r a m O b j e c t K e y a n y T y p e z b w N T n L X & g t ; & l t ; a : K e y & g t ; & l t ; K e y & g t ; C o l u m n s \ C o l u m n 1 7 2 & l t ; / K e y & g t ; & l t ; / a : K e y & g t ; & l t ; a : V a l u e   i : t y p e = " M e a s u r e G r i d N o d e V i e w S t a t e " & g t ; & l t ; C o l u m n & g t ; 1 7 1 & l t ; / C o l u m n & g t ; & l t ; L a y e d O u t & g t ; t r u e & l t ; / L a y e d O u t & g t ; & l t ; / a : V a l u e & g t ; & l t ; / a : K e y V a l u e O f D i a g r a m O b j e c t K e y a n y T y p e z b w N T n L X & g t ; & l t ; a : K e y V a l u e O f D i a g r a m O b j e c t K e y a n y T y p e z b w N T n L X & g t ; & l t ; a : K e y & g t ; & l t ; K e y & g t ; C o l u m n s \ C o l u m n 1 7 3 & l t ; / K e y & g t ; & l t ; / a : K e y & g t ; & l t ; a : V a l u e   i : t y p e = " M e a s u r e G r i d N o d e V i e w S t a t e " & g t ; & l t ; C o l u m n & g t ; 1 7 2 & l t ; / C o l u m n & g t ; & l t ; L a y e d O u t & g t ; t r u e & l t ; / L a y e d O u t & g t ; & l t ; / a : V a l u e & g t ; & l t ; / a : K e y V a l u e O f D i a g r a m O b j e c t K e y a n y T y p e z b w N T n L X & g t ; & l t ; a : K e y V a l u e O f D i a g r a m O b j e c t K e y a n y T y p e z b w N T n L X & g t ; & l t ; a : K e y & g t ; & l t ; K e y & g t ; C o l u m n s \ C o l u m n 1 7 4 & l t ; / K e y & g t ; & l t ; / a : K e y & g t ; & l t ; a : V a l u e   i : t y p e = " M e a s u r e G r i d N o d e V i e w S t a t e " & g t ; & l t ; C o l u m n & g t ; 1 7 3 & l t ; / C o l u m n & g t ; & l t ; L a y e d O u t & g t ; t r u e & l t ; / L a y e d O u t & g t ; & l t ; / a : V a l u e & g t ; & l t ; / a : K e y V a l u e O f D i a g r a m O b j e c t K e y a n y T y p e z b w N T n L X & g t ; & l t ; a : K e y V a l u e O f D i a g r a m O b j e c t K e y a n y T y p e z b w N T n L X & g t ; & l t ; a : K e y & g t ; & l t ; K e y & g t ; C o l u m n s \ C o l u m n 1 7 5 & l t ; / K e y & g t ; & l t ; / a : K e y & g t ; & l t ; a : V a l u e   i : t y p e = " M e a s u r e G r i d N o d e V i e w S t a t e " & g t ; & l t ; C o l u m n & g t ; 1 7 4 & l t ; / C o l u m n & g t ; & l t ; L a y e d O u t & g t ; t r u e & l t ; / L a y e d O u t & g t ; & l t ; / a : V a l u e & g t ; & l t ; / a : K e y V a l u e O f D i a g r a m O b j e c t K e y a n y T y p e z b w N T n L X & g t ; & l t ; a : K e y V a l u e O f D i a g r a m O b j e c t K e y a n y T y p e z b w N T n L X & g t ; & l t ; a : K e y & g t ; & l t ; K e y & g t ; C o l u m n s \ C o l u m n 1 7 6 & l t ; / K e y & g t ; & l t ; / a : K e y & g t ; & l t ; a : V a l u e   i : t y p e = " M e a s u r e G r i d N o d e V i e w S t a t e " & g t ; & l t ; C o l u m n & g t ; 1 7 5 & l t ; / C o l u m n & g t ; & l t ; L a y e d O u t & g t ; t r u e & l t ; / L a y e d O u t & g t ; & l t ; / a : V a l u e & g t ; & l t ; / a : K e y V a l u e O f D i a g r a m O b j e c t K e y a n y T y p e z b w N T n L X & g t ; & l t ; a : K e y V a l u e O f D i a g r a m O b j e c t K e y a n y T y p e z b w N T n L X & g t ; & l t ; a : K e y & g t ; & l t ; K e y & g t ; C o l u m n s \ C o l u m n 1 7 7 & l t ; / K e y & g t ; & l t ; / a : K e y & g t ; & l t ; a : V a l u e   i : t y p e = " M e a s u r e G r i d N o d e V i e w S t a t e " & g t ; & l t ; C o l u m n & g t ; 1 7 6 & l t ; / C o l u m n & g t ; & l t ; L a y e d O u t & g t ; t r u e & l t ; / L a y e d O u t & g t ; & l t ; / a : V a l u e & g t ; & l t ; / a : K e y V a l u e O f D i a g r a m O b j e c t K e y a n y T y p e z b w N T n L X & g t ; & l t ; a : K e y V a l u e O f D i a g r a m O b j e c t K e y a n y T y p e z b w N T n L X & g t ; & l t ; a : K e y & g t ; & l t ; K e y & g t ; C o l u m n s \ C o l u m n 1 7 8 & l t ; / K e y & g t ; & l t ; / a : K e y & g t ; & l t ; a : V a l u e   i : t y p e = " M e a s u r e G r i d N o d e V i e w S t a t e " & g t ; & l t ; C o l u m n & g t ; 1 7 7 & l t ; / C o l u m n & g t ; & l t ; L a y e d O u t & g t ; t r u e & l t ; / L a y e d O u t & g t ; & l t ; / a : V a l u e & g t ; & l t ; / a : K e y V a l u e O f D i a g r a m O b j e c t K e y a n y T y p e z b w N T n L X & g t ; & l t ; a : K e y V a l u e O f D i a g r a m O b j e c t K e y a n y T y p e z b w N T n L X & g t ; & l t ; a : K e y & g t ; & l t ; K e y & g t ; C o l u m n s \ C o l u m n 1 7 9 & l t ; / K e y & g t ; & l t ; / a : K e y & g t ; & l t ; a : V a l u e   i : t y p e = " M e a s u r e G r i d N o d e V i e w S t a t e " & g t ; & l t ; C o l u m n & g t ; 1 7 8 & l t ; / C o l u m n & g t ; & l t ; L a y e d O u t & g t ; t r u e & l t ; / L a y e d O u t & g t ; & l t ; / a : V a l u e & g t ; & l t ; / a : K e y V a l u e O f D i a g r a m O b j e c t K e y a n y T y p e z b w N T n L X & g t ; & l t ; a : K e y V a l u e O f D i a g r a m O b j e c t K e y a n y T y p e z b w N T n L X & g t ; & l t ; a : K e y & g t ; & l t ; K e y & g t ; C o l u m n s \ C o l u m n 1 8 0 & l t ; / K e y & g t ; & l t ; / a : K e y & g t ; & l t ; a : V a l u e   i : t y p e = " M e a s u r e G r i d N o d e V i e w S t a t e " & g t ; & l t ; C o l u m n & g t ; 1 7 9 & l t ; / C o l u m n & g t ; & l t ; L a y e d O u t & g t ; t r u e & l t ; / L a y e d O u t & g t ; & l t ; / a : V a l u e & g t ; & l t ; / a : K e y V a l u e O f D i a g r a m O b j e c t K e y a n y T y p e z b w N T n L X & g t ; & l t ; a : K e y V a l u e O f D i a g r a m O b j e c t K e y a n y T y p e z b w N T n L X & g t ; & l t ; a : K e y & g t ; & l t ; K e y & g t ; C o l u m n s \ C o l u m n 1 8 1 & l t ; / K e y & g t ; & l t ; / a : K e y & g t ; & l t ; a : V a l u e   i : t y p e = " M e a s u r e G r i d N o d e V i e w S t a t e " & g t ; & l t ; C o l u m n & g t ; 1 8 0 & l t ; / C o l u m n & g t ; & l t ; L a y e d O u t & g t ; t r u e & l t ; / L a y e d O u t & g t ; & l t ; / a : V a l u e & g t ; & l t ; / a : K e y V a l u e O f D i a g r a m O b j e c t K e y a n y T y p e z b w N T n L X & g t ; & l t ; a : K e y V a l u e O f D i a g r a m O b j e c t K e y a n y T y p e z b w N T n L X & g t ; & l t ; a : K e y & g t ; & l t ; K e y & g t ; C o l u m n s \ C o l u m n 1 8 2 & l t ; / K e y & g t ; & l t ; / a : K e y & g t ; & l t ; a : V a l u e   i : t y p e = " M e a s u r e G r i d N o d e V i e w S t a t e " & g t ; & l t ; C o l u m n & g t ; 1 8 1 & l t ; / C o l u m n & g t ; & l t ; L a y e d O u t & g t ; t r u e & l t ; / L a y e d O u t & g t ; & l t ; / a : V a l u e & g t ; & l t ; / a : K e y V a l u e O f D i a g r a m O b j e c t K e y a n y T y p e z b w N T n L X & g t ; & l t ; a : K e y V a l u e O f D i a g r a m O b j e c t K e y a n y T y p e z b w N T n L X & g t ; & l t ; a : K e y & g t ; & l t ; K e y & g t ; C o l u m n s \ C o l u m n 1 8 3 & l t ; / K e y & g t ; & l t ; / a : K e y & g t ; & l t ; a : V a l u e   i : t y p e = " M e a s u r e G r i d N o d e V i e w S t a t e " & g t ; & l t ; C o l u m n & g t ; 1 8 2 & l t ; / C o l u m n & g t ; & l t ; L a y e d O u t & g t ; t r u e & l t ; / L a y e d O u t & g t ; & l t ; / a : V a l u e & g t ; & l t ; / a : K e y V a l u e O f D i a g r a m O b j e c t K e y a n y T y p e z b w N T n L X & g t ; & l t ; a : K e y V a l u e O f D i a g r a m O b j e c t K e y a n y T y p e z b w N T n L X & g t ; & l t ; a : K e y & g t ; & l t ; K e y & g t ; C o l u m n s \ C o l u m n 1 8 4 & l t ; / K e y & g t ; & l t ; / a : K e y & g t ; & l t ; a : V a l u e   i : t y p e = " M e a s u r e G r i d N o d e V i e w S t a t e " & g t ; & l t ; C o l u m n & g t ; 1 8 3 & l t ; / C o l u m n & g t ; & l t ; L a y e d O u t & g t ; t r u e & l t ; / L a y e d O u t & g t ; & l t ; / a : V a l u e & g t ; & l t ; / a : K e y V a l u e O f D i a g r a m O b j e c t K e y a n y T y p e z b w N T n L X & g t ; & l t ; a : K e y V a l u e O f D i a g r a m O b j e c t K e y a n y T y p e z b w N T n L X & g t ; & l t ; a : K e y & g t ; & l t ; K e y & g t ; C o l u m n s \ C o l u m n 1 8 5 & l t ; / K e y & g t ; & l t ; / a : K e y & g t ; & l t ; a : V a l u e   i : t y p e = " M e a s u r e G r i d N o d e V i e w S t a t e " & g t ; & l t ; C o l u m n & g t ; 1 8 4 & l t ; / C o l u m n & g t ; & l t ; L a y e d O u t & g t ; t r u e & l t ; / L a y e d O u t & g t ; & l t ; / a : V a l u e & g t ; & l t ; / a : K e y V a l u e O f D i a g r a m O b j e c t K e y a n y T y p e z b w N T n L X & g t ; & l t ; a : K e y V a l u e O f D i a g r a m O b j e c t K e y a n y T y p e z b w N T n L X & g t ; & l t ; a : K e y & g t ; & l t ; K e y & g t ; C o l u m n s \ C o l u m n 1 8 6 & l t ; / K e y & g t ; & l t ; / a : K e y & g t ; & l t ; a : V a l u e   i : t y p e = " M e a s u r e G r i d N o d e V i e w S t a t e " & g t ; & l t ; C o l u m n & g t ; 1 8 5 & l t ; / C o l u m n & g t ; & l t ; L a y e d O u t & g t ; t r u e & l t ; / L a y e d O u t & g t ; & l t ; / a : V a l u e & g t ; & l t ; / a : K e y V a l u e O f D i a g r a m O b j e c t K e y a n y T y p e z b w N T n L X & g t ; & l t ; a : K e y V a l u e O f D i a g r a m O b j e c t K e y a n y T y p e z b w N T n L X & g t ; & l t ; a : K e y & g t ; & l t ; K e y & g t ; C o l u m n s \ C o l u m n 1 8 7 & l t ; / K e y & g t ; & l t ; / a : K e y & g t ; & l t ; a : V a l u e   i : t y p e = " M e a s u r e G r i d N o d e V i e w S t a t e " & g t ; & l t ; C o l u m n & g t ; 1 8 6 & l t ; / C o l u m n & g t ; & l t ; L a y e d O u t & g t ; t r u e & l t ; / L a y e d O u t & g t ; & l t ; / a : V a l u e & g t ; & l t ; / a : K e y V a l u e O f D i a g r a m O b j e c t K e y a n y T y p e z b w N T n L X & g t ; & l t ; a : K e y V a l u e O f D i a g r a m O b j e c t K e y a n y T y p e z b w N T n L X & g t ; & l t ; a : K e y & g t ; & l t ; K e y & g t ; C o l u m n s \ C o l u m n 1 8 8 & l t ; / K e y & g t ; & l t ; / a : K e y & g t ; & l t ; a : V a l u e   i : t y p e = " M e a s u r e G r i d N o d e V i e w S t a t e " & g t ; & l t ; C o l u m n & g t ; 1 8 7 & l t ; / C o l u m n & g t ; & l t ; L a y e d O u t & g t ; t r u e & l t ; / L a y e d O u t & g t ; & l t ; / a : V a l u e & g t ; & l t ; / a : K e y V a l u e O f D i a g r a m O b j e c t K e y a n y T y p e z b w N T n L X & g t ; & l t ; a : K e y V a l u e O f D i a g r a m O b j e c t K e y a n y T y p e z b w N T n L X & g t ; & l t ; a : K e y & g t ; & l t ; K e y & g t ; C o l u m n s \ C o l u m n 1 8 9 & l t ; / K e y & g t ; & l t ; / a : K e y & g t ; & l t ; a : V a l u e   i : t y p e = " M e a s u r e G r i d N o d e V i e w S t a t e " & g t ; & l t ; C o l u m n & g t ; 1 8 8 & l t ; / C o l u m n & g t ; & l t ; L a y e d O u t & g t ; t r u e & l t ; / L a y e d O u t & g t ; & l t ; / a : V a l u e & g t ; & l t ; / a : K e y V a l u e O f D i a g r a m O b j e c t K e y a n y T y p e z b w N T n L X & g t ; & l t ; a : K e y V a l u e O f D i a g r a m O b j e c t K e y a n y T y p e z b w N T n L X & g t ; & l t ; a : K e y & g t ; & l t ; K e y & g t ; C o l u m n s \ C o l u m n 1 9 0 & l t ; / K e y & g t ; & l t ; / a : K e y & g t ; & l t ; a : V a l u e   i : t y p e = " M e a s u r e G r i d N o d e V i e w S t a t e " & g t ; & l t ; C o l u m n & g t ; 1 8 9 & l t ; / C o l u m n & g t ; & l t ; L a y e d O u t & g t ; t r u e & l t ; / L a y e d O u t & g t ; & l t ; / a : V a l u e & g t ; & l t ; / a : K e y V a l u e O f D i a g r a m O b j e c t K e y a n y T y p e z b w N T n L X & g t ; & l t ; a : K e y V a l u e O f D i a g r a m O b j e c t K e y a n y T y p e z b w N T n L X & g t ; & l t ; a : K e y & g t ; & l t ; K e y & g t ; C o l u m n s \ C o l u m n 1 9 1 & l t ; / K e y & g t ; & l t ; / a : K e y & g t ; & l t ; a : V a l u e   i : t y p e = " M e a s u r e G r i d N o d e V i e w S t a t e " & g t ; & l t ; C o l u m n & g t ; 1 9 0 & l t ; / C o l u m n & g t ; & l t ; L a y e d O u t & g t ; t r u e & l t ; / L a y e d O u t & g t ; & l t ; / a : V a l u e & g t ; & l t ; / a : K e y V a l u e O f D i a g r a m O b j e c t K e y a n y T y p e z b w N T n L X & g t ; & l t ; a : K e y V a l u e O f D i a g r a m O b j e c t K e y a n y T y p e z b w N T n L X & g t ; & l t ; a : K e y & g t ; & l t ; K e y & g t ; C o l u m n s \ C o l u m n 1 9 2 & l t ; / K e y & g t ; & l t ; / a : K e y & g t ; & l t ; a : V a l u e   i : t y p e = " M e a s u r e G r i d N o d e V i e w S t a t e " & g t ; & l t ; C o l u m n & g t ; 1 9 1 & l t ; / C o l u m n & g t ; & l t ; L a y e d O u t & g t ; t r u e & l t ; / L a y e d O u t & g t ; & l t ; / a : V a l u e & g t ; & l t ; / a : K e y V a l u e O f D i a g r a m O b j e c t K e y a n y T y p e z b w N T n L X & g t ; & l t ; a : K e y V a l u e O f D i a g r a m O b j e c t K e y a n y T y p e z b w N T n L X & g t ; & l t ; a : K e y & g t ; & l t ; K e y & g t ; C o l u m n s \ C o l u m n 1 9 3 & l t ; / K e y & g t ; & l t ; / a : K e y & g t ; & l t ; a : V a l u e   i : t y p e = " M e a s u r e G r i d N o d e V i e w S t a t e " & g t ; & l t ; C o l u m n & g t ; 1 9 2 & l t ; / C o l u m n & g t ; & l t ; L a y e d O u t & g t ; t r u e & l t ; / L a y e d O u t & g t ; & l t ; / a : V a l u e & g t ; & l t ; / a : K e y V a l u e O f D i a g r a m O b j e c t K e y a n y T y p e z b w N T n L X & g t ; & l t ; a : K e y V a l u e O f D i a g r a m O b j e c t K e y a n y T y p e z b w N T n L X & g t ; & l t ; a : K e y & g t ; & l t ; K e y & g t ; C o l u m n s \ C o l u m n 1 9 4 & l t ; / K e y & g t ; & l t ; / a : K e y & g t ; & l t ; a : V a l u e   i : t y p e = " M e a s u r e G r i d N o d e V i e w S t a t e " & g t ; & l t ; C o l u m n & g t ; 1 9 3 & l t ; / C o l u m n & g t ; & l t ; L a y e d O u t & g t ; t r u e & l t ; / L a y e d O u t & g t ; & l t ; / a : V a l u e & g t ; & l t ; / a : K e y V a l u e O f D i a g r a m O b j e c t K e y a n y T y p e z b w N T n L X & g t ; & l t ; a : K e y V a l u e O f D i a g r a m O b j e c t K e y a n y T y p e z b w N T n L X & g t ; & l t ; a : K e y & g t ; & l t ; K e y & g t ; C o l u m n s \ C o l u m n 1 9 5 & l t ; / K e y & g t ; & l t ; / a : K e y & g t ; & l t ; a : V a l u e   i : t y p e = " M e a s u r e G r i d N o d e V i e w S t a t e " & g t ; & l t ; C o l u m n & g t ; 1 9 4 & l t ; / C o l u m n & g t ; & l t ; L a y e d O u t & g t ; t r u e & l t ; / L a y e d O u t & g t ; & l t ; / a : V a l u e & g t ; & l t ; / a : K e y V a l u e O f D i a g r a m O b j e c t K e y a n y T y p e z b w N T n L X & g t ; & l t ; a : K e y V a l u e O f D i a g r a m O b j e c t K e y a n y T y p e z b w N T n L X & g t ; & l t ; a : K e y & g t ; & l t ; K e y & g t ; C o l u m n s \ C o l u m n 1 9 6 & l t ; / K e y & g t ; & l t ; / a : K e y & g t ; & l t ; a : V a l u e   i : t y p e = " M e a s u r e G r i d N o d e V i e w S t a t e " & g t ; & l t ; C o l u m n & g t ; 1 9 5 & l t ; / C o l u m n & g t ; & l t ; L a y e d O u t & g t ; t r u e & l t ; / L a y e d O u t & g t ; & l t ; / a : V a l u e & g t ; & l t ; / a : K e y V a l u e O f D i a g r a m O b j e c t K e y a n y T y p e z b w N T n L X & g t ; & l t ; a : K e y V a l u e O f D i a g r a m O b j e c t K e y a n y T y p e z b w N T n L X & g t ; & l t ; a : K e y & g t ; & l t ; K e y & g t ; C o l u m n s \ C o l u m n 1 9 7 & l t ; / K e y & g t ; & l t ; / a : K e y & g t ; & l t ; a : V a l u e   i : t y p e = " M e a s u r e G r i d N o d e V i e w S t a t e " & g t ; & l t ; C o l u m n & g t ; 1 9 6 & l t ; / C o l u m n & g t ; & l t ; L a y e d O u t & g t ; t r u e & l t ; / L a y e d O u t & g t ; & l t ; / a : V a l u e & g t ; & l t ; / a : K e y V a l u e O f D i a g r a m O b j e c t K e y a n y T y p e z b w N T n L X & g t ; & l t ; a : K e y V a l u e O f D i a g r a m O b j e c t K e y a n y T y p e z b w N T n L X & g t ; & l t ; a : K e y & g t ; & l t ; K e y & g t ; C o l u m n s \ C o l u m n 1 9 8 & l t ; / K e y & g t ; & l t ; / a : K e y & g t ; & l t ; a : V a l u e   i : t y p e = " M e a s u r e G r i d N o d e V i e w S t a t e " & g t ; & l t ; C o l u m n & g t ; 1 9 7 & l t ; / C o l u m n & g t ; & l t ; L a y e d O u t & g t ; t r u e & l t ; / L a y e d O u t & g t ; & l t ; / a : V a l u e & g t ; & l t ; / a : K e y V a l u e O f D i a g r a m O b j e c t K e y a n y T y p e z b w N T n L X & g t ; & l t ; a : K e y V a l u e O f D i a g r a m O b j e c t K e y a n y T y p e z b w N T n L X & g t ; & l t ; a : K e y & g t ; & l t ; K e y & g t ; C o l u m n s \ C o l u m n 1 9 9 & l t ; / K e y & g t ; & l t ; / a : K e y & g t ; & l t ; a : V a l u e   i : t y p e = " M e a s u r e G r i d N o d e V i e w S t a t e " & g t ; & l t ; C o l u m n & g t ; 1 9 8 & l t ; / C o l u m n & g t ; & l t ; L a y e d O u t & g t ; t r u e & l t ; / L a y e d O u t & g t ; & l t ; / a : V a l u e & g t ; & l t ; / a : K e y V a l u e O f D i a g r a m O b j e c t K e y a n y T y p e z b w N T n L X & g t ; & l t ; a : K e y V a l u e O f D i a g r a m O b j e c t K e y a n y T y p e z b w N T n L X & g t ; & l t ; a : K e y & g t ; & l t ; K e y & g t ; C o l u m n s \ C o l u m n 2 0 0 & l t ; / K e y & g t ; & l t ; / a : K e y & g t ; & l t ; a : V a l u e   i : t y p e = " M e a s u r e G r i d N o d e V i e w S t a t e " & g t ; & l t ; C o l u m n & g t ; 1 9 9 & l t ; / C o l u m n & g t ; & l t ; L a y e d O u t & g t ; t r u e & l t ; / L a y e d O u t & g t ; & l t ; / a : V a l u e & g t ; & l t ; / a : K e y V a l u e O f D i a g r a m O b j e c t K e y a n y T y p e z b w N T n L X & g t ; & l t ; a : K e y V a l u e O f D i a g r a m O b j e c t K e y a n y T y p e z b w N T n L X & g t ; & l t ; a : K e y & g t ; & l t ; K e y & g t ; C o l u m n s \ C o l u m n 2 0 1 & l t ; / K e y & g t ; & l t ; / a : K e y & g t ; & l t ; a : V a l u e   i : t y p e = " M e a s u r e G r i d N o d e V i e w S t a t e " & g t ; & l t ; C o l u m n & g t ; 2 0 0 & l t ; / C o l u m n & g t ; & l t ; L a y e d O u t & g t ; t r u e & l t ; / L a y e d O u t & g t ; & l t ; / a : V a l u e & g t ; & l t ; / a : K e y V a l u e O f D i a g r a m O b j e c t K e y a n y T y p e z b w N T n L X & g t ; & l t ; a : K e y V a l u e O f D i a g r a m O b j e c t K e y a n y T y p e z b w N T n L X & g t ; & l t ; a : K e y & g t ; & l t ; K e y & g t ; C o l u m n s \ C o l u m n 2 0 2 & l t ; / K e y & g t ; & l t ; / a : K e y & g t ; & l t ; a : V a l u e   i : t y p e = " M e a s u r e G r i d N o d e V i e w S t a t e " & g t ; & l t ; C o l u m n & g t ; 2 0 1 & l t ; / C o l u m n & g t ; & l t ; L a y e d O u t & g t ; t r u e & l t ; / L a y e d O u t & g t ; & l t ; / a : V a l u e & g t ; & l t ; / a : K e y V a l u e O f D i a g r a m O b j e c t K e y a n y T y p e z b w N T n L X & g t ; & l t ; a : K e y V a l u e O f D i a g r a m O b j e c t K e y a n y T y p e z b w N T n L X & g t ; & l t ; a : K e y & g t ; & l t ; K e y & g t ; C o l u m n s \ C o l u m n 2 0 3 & l t ; / K e y & g t ; & l t ; / a : K e y & g t ; & l t ; a : V a l u e   i : t y p e = " M e a s u r e G r i d N o d e V i e w S t a t e " & g t ; & l t ; C o l u m n & g t ; 2 0 2 & l t ; / C o l u m n & g t ; & l t ; L a y e d O u t & g t ; t r u e & l t ; / L a y e d O u t & g t ; & l t ; / a : V a l u e & g t ; & l t ; / a : K e y V a l u e O f D i a g r a m O b j e c t K e y a n y T y p e z b w N T n L X & g t ; & l t ; a : K e y V a l u e O f D i a g r a m O b j e c t K e y a n y T y p e z b w N T n L X & g t ; & l t ; a : K e y & g t ; & l t ; K e y & g t ; C o l u m n s \ C o l u m n 2 0 4 & l t ; / K e y & g t ; & l t ; / a : K e y & g t ; & l t ; a : V a l u e   i : t y p e = " M e a s u r e G r i d N o d e V i e w S t a t e " & g t ; & l t ; C o l u m n & g t ; 2 0 3 & l t ; / C o l u m n & g t ; & l t ; L a y e d O u t & g t ; t r u e & l t ; / L a y e d O u t & g t ; & l t ; / a : V a l u e & g t ; & l t ; / a : K e y V a l u e O f D i a g r a m O b j e c t K e y a n y T y p e z b w N T n L X & g t ; & l t ; a : K e y V a l u e O f D i a g r a m O b j e c t K e y a n y T y p e z b w N T n L X & g t ; & l t ; a : K e y & g t ; & l t ; K e y & g t ; C o l u m n s \ C o l u m n 2 0 5 & l t ; / K e y & g t ; & l t ; / a : K e y & g t ; & l t ; a : V a l u e   i : t y p e = " M e a s u r e G r i d N o d e V i e w S t a t e " & g t ; & l t ; C o l u m n & g t ; 2 0 4 & l t ; / C o l u m n & g t ; & l t ; L a y e d O u t & g t ; t r u e & l t ; / L a y e d O u t & g t ; & l t ; / a : V a l u e & g t ; & l t ; / a : K e y V a l u e O f D i a g r a m O b j e c t K e y a n y T y p e z b w N T n L X & g t ; & l t ; a : K e y V a l u e O f D i a g r a m O b j e c t K e y a n y T y p e z b w N T n L X & g t ; & l t ; a : K e y & g t ; & l t ; K e y & g t ; C o l u m n s \ C o l u m n 2 0 6 & l t ; / K e y & g t ; & l t ; / a : K e y & g t ; & l t ; a : V a l u e   i : t y p e = " M e a s u r e G r i d N o d e V i e w S t a t e " & g t ; & l t ; C o l u m n & g t ; 2 0 5 & l t ; / C o l u m n & g t ; & l t ; L a y e d O u t & g t ; t r u e & l t ; / L a y e d O u t & g t ; & l t ; / a : V a l u e & g t ; & l t ; / a : K e y V a l u e O f D i a g r a m O b j e c t K e y a n y T y p e z b w N T n L X & g t ; & l t ; a : K e y V a l u e O f D i a g r a m O b j e c t K e y a n y T y p e z b w N T n L X & g t ; & l t ; a : K e y & g t ; & l t ; K e y & g t ; C o l u m n s \ C o l u m n 2 0 7 & l t ; / K e y & g t ; & l t ; / a : K e y & g t ; & l t ; a : V a l u e   i : t y p e = " M e a s u r e G r i d N o d e V i e w S t a t e " & g t ; & l t ; C o l u m n & g t ; 2 0 6 & l t ; / C o l u m n & g t ; & l t ; L a y e d O u t & g t ; t r u e & l t ; / L a y e d O u t & g t ; & l t ; / a : V a l u e & g t ; & l t ; / a : K e y V a l u e O f D i a g r a m O b j e c t K e y a n y T y p e z b w N T n L X & g t ; & l t ; a : K e y V a l u e O f D i a g r a m O b j e c t K e y a n y T y p e z b w N T n L X & g t ; & l t ; a : K e y & g t ; & l t ; K e y & g t ; C o l u m n s \ C o l u m n 2 0 8 & l t ; / K e y & g t ; & l t ; / a : K e y & g t ; & l t ; a : V a l u e   i : t y p e = " M e a s u r e G r i d N o d e V i e w S t a t e " & g t ; & l t ; C o l u m n & g t ; 2 0 7 & l t ; / C o l u m n & g t ; & l t ; L a y e d O u t & g t ; t r u e & l t ; / L a y e d O u t & g t ; & l t ; / a : V a l u e & g t ; & l t ; / a : K e y V a l u e O f D i a g r a m O b j e c t K e y a n y T y p e z b w N T n L X & g t ; & l t ; a : K e y V a l u e O f D i a g r a m O b j e c t K e y a n y T y p e z b w N T n L X & g t ; & l t ; a : K e y & g t ; & l t ; K e y & g t ; C o l u m n s \ C o l u m n 2 0 9 & l t ; / K e y & g t ; & l t ; / a : K e y & g t ; & l t ; a : V a l u e   i : t y p e = " M e a s u r e G r i d N o d e V i e w S t a t e " & g t ; & l t ; C o l u m n & g t ; 2 0 8 & l t ; / C o l u m n & g t ; & l t ; L a y e d O u t & g t ; t r u e & l t ; / L a y e d O u t & g t ; & l t ; / a : V a l u e & g t ; & l t ; / a : K e y V a l u e O f D i a g r a m O b j e c t K e y a n y T y p e z b w N T n L X & g t ; & l t ; a : K e y V a l u e O f D i a g r a m O b j e c t K e y a n y T y p e z b w N T n L X & g t ; & l t ; a : K e y & g t ; & l t ; K e y & g t ; C o l u m n s \ C o l u m n 2 1 0 & l t ; / K e y & g t ; & l t ; / a : K e y & g t ; & l t ; a : V a l u e   i : t y p e = " M e a s u r e G r i d N o d e V i e w S t a t e " & g t ; & l t ; C o l u m n & g t ; 2 0 9 & l t ; / C o l u m n & g t ; & l t ; L a y e d O u t & g t ; t r u e & l t ; / L a y e d O u t & g t ; & l t ; / a : V a l u e & g t ; & l t ; / a : K e y V a l u e O f D i a g r a m O b j e c t K e y a n y T y p e z b w N T n L X & g t ; & l t ; a : K e y V a l u e O f D i a g r a m O b j e c t K e y a n y T y p e z b w N T n L X & g t ; & l t ; a : K e y & g t ; & l t ; K e y & g t ; C o l u m n s \ C o l u m n 2 1 1 & l t ; / K e y & g t ; & l t ; / a : K e y & g t ; & l t ; a : V a l u e   i : t y p e = " M e a s u r e G r i d N o d e V i e w S t a t e " & g t ; & l t ; C o l u m n & g t ; 2 1 0 & l t ; / C o l u m n & g t ; & l t ; L a y e d O u t & g t ; t r u e & l t ; / L a y e d O u t & g t ; & l t ; / a : V a l u e & g t ; & l t ; / a : K e y V a l u e O f D i a g r a m O b j e c t K e y a n y T y p e z b w N T n L X & g t ; & l t ; a : K e y V a l u e O f D i a g r a m O b j e c t K e y a n y T y p e z b w N T n L X & g t ; & l t ; a : K e y & g t ; & l t ; K e y & g t ; C o l u m n s \ C o l u m n 2 1 2 & l t ; / K e y & g t ; & l t ; / a : K e y & g t ; & l t ; a : V a l u e   i : t y p e = " M e a s u r e G r i d N o d e V i e w S t a t e " & g t ; & l t ; C o l u m n & g t ; 2 1 1 & l t ; / C o l u m n & g t ; & l t ; L a y e d O u t & g t ; t r u e & l t ; / L a y e d O u t & g t ; & l t ; / a : V a l u e & g t ; & l t ; / a : K e y V a l u e O f D i a g r a m O b j e c t K e y a n y T y p e z b w N T n L X & g t ; & l t ; a : K e y V a l u e O f D i a g r a m O b j e c t K e y a n y T y p e z b w N T n L X & g t ; & l t ; a : K e y & g t ; & l t ; K e y & g t ; C o l u m n s \ C o l u m n 2 1 3 & l t ; / K e y & g t ; & l t ; / a : K e y & g t ; & l t ; a : V a l u e   i : t y p e = " M e a s u r e G r i d N o d e V i e w S t a t e " & g t ; & l t ; C o l u m n & g t ; 2 1 2 & l t ; / C o l u m n & g t ; & l t ; L a y e d O u t & g t ; t r u e & l t ; / L a y e d O u t & g t ; & l t ; / a : V a l u e & g t ; & l t ; / a : K e y V a l u e O f D i a g r a m O b j e c t K e y a n y T y p e z b w N T n L X & g t ; & l t ; a : K e y V a l u e O f D i a g r a m O b j e c t K e y a n y T y p e z b w N T n L X & g t ; & l t ; a : K e y & g t ; & l t ; K e y & g t ; C o l u m n s \ C o l u m n 2 1 4 & l t ; / K e y & g t ; & l t ; / a : K e y & g t ; & l t ; a : V a l u e   i : t y p e = " M e a s u r e G r i d N o d e V i e w S t a t e " & g t ; & l t ; C o l u m n & g t ; 2 1 3 & l t ; / C o l u m n & g t ; & l t ; L a y e d O u t & g t ; t r u e & l t ; / L a y e d O u t & g t ; & l t ; / a : V a l u e & g t ; & l t ; / a : K e y V a l u e O f D i a g r a m O b j e c t K e y a n y T y p e z b w N T n L X & g t ; & l t ; a : K e y V a l u e O f D i a g r a m O b j e c t K e y a n y T y p e z b w N T n L X & g t ; & l t ; a : K e y & g t ; & l t ; K e y & g t ; C o l u m n s \ C o l u m n 2 1 5 & l t ; / K e y & g t ; & l t ; / a : K e y & g t ; & l t ; a : V a l u e   i : t y p e = " M e a s u r e G r i d N o d e V i e w S t a t e " & g t ; & l t ; C o l u m n & g t ; 2 1 4 & l t ; / C o l u m n & g t ; & l t ; L a y e d O u t & g t ; t r u e & l t ; / L a y e d O u t & g t ; & l t ; / a : V a l u e & g t ; & l t ; / a : K e y V a l u e O f D i a g r a m O b j e c t K e y a n y T y p e z b w N T n L X & g t ; & l t ; a : K e y V a l u e O f D i a g r a m O b j e c t K e y a n y T y p e z b w N T n L X & g t ; & l t ; a : K e y & g t ; & l t ; K e y & g t ; C o l u m n s \ C o l u m n 2 1 6 & l t ; / K e y & g t ; & l t ; / a : K e y & g t ; & l t ; a : V a l u e   i : t y p e = " M e a s u r e G r i d N o d e V i e w S t a t e " & g t ; & l t ; C o l u m n & g t ; 2 1 5 & l t ; / C o l u m n & g t ; & l t ; L a y e d O u t & g t ; t r u e & l t ; / L a y e d O u t & g t ; & l t ; / a : V a l u e & g t ; & l t ; / a : K e y V a l u e O f D i a g r a m O b j e c t K e y a n y T y p e z b w N T n L X & g t ; & l t ; a : K e y V a l u e O f D i a g r a m O b j e c t K e y a n y T y p e z b w N T n L X & g t ; & l t ; a : K e y & g t ; & l t ; K e y & g t ; C o l u m n s \ C o l u m n 2 1 7 & l t ; / K e y & g t ; & l t ; / a : K e y & g t ; & l t ; a : V a l u e   i : t y p e = " M e a s u r e G r i d N o d e V i e w S t a t e " & g t ; & l t ; C o l u m n & g t ; 2 1 6 & l t ; / C o l u m n & g t ; & l t ; L a y e d O u t & g t ; t r u e & l t ; / L a y e d O u t & g t ; & l t ; / a : V a l u e & g t ; & l t ; / a : K e y V a l u e O f D i a g r a m O b j e c t K e y a n y T y p e z b w N T n L X & g t ; & l t ; a : K e y V a l u e O f D i a g r a m O b j e c t K e y a n y T y p e z b w N T n L X & g t ; & l t ; a : K e y & g t ; & l t ; K e y & g t ; C o l u m n s \ C o l u m n 2 1 8 & l t ; / K e y & g t ; & l t ; / a : K e y & g t ; & l t ; a : V a l u e   i : t y p e = " M e a s u r e G r i d N o d e V i e w S t a t e " & g t ; & l t ; C o l u m n & g t ; 2 1 7 & l t ; / C o l u m n & g t ; & l t ; L a y e d O u t & g t ; t r u e & l t ; / L a y e d O u t & g t ; & l t ; / a : V a l u e & g t ; & l t ; / a : K e y V a l u e O f D i a g r a m O b j e c t K e y a n y T y p e z b w N T n L X & g t ; & l t ; a : K e y V a l u e O f D i a g r a m O b j e c t K e y a n y T y p e z b w N T n L X & g t ; & l t ; a : K e y & g t ; & l t ; K e y & g t ; C o l u m n s \ C o l u m n 2 1 9 & l t ; / K e y & g t ; & l t ; / a : K e y & g t ; & l t ; a : V a l u e   i : t y p e = " M e a s u r e G r i d N o d e V i e w S t a t e " & g t ; & l t ; C o l u m n & g t ; 2 1 8 & l t ; / C o l u m n & g t ; & l t ; L a y e d O u t & g t ; t r u e & l t ; / L a y e d O u t & g t ; & l t ; / a : V a l u e & g t ; & l t ; / a : K e y V a l u e O f D i a g r a m O b j e c t K e y a n y T y p e z b w N T n L X & g t ; & l t ; a : K e y V a l u e O f D i a g r a m O b j e c t K e y a n y T y p e z b w N T n L X & g t ; & l t ; a : K e y & g t ; & l t ; K e y & g t ; C o l u m n s \ C o l u m n 2 2 0 & l t ; / K e y & g t ; & l t ; / a : K e y & g t ; & l t ; a : V a l u e   i : t y p e = " M e a s u r e G r i d N o d e V i e w S t a t e " & g t ; & l t ; C o l u m n & g t ; 2 1 9 & l t ; / C o l u m n & g t ; & l t ; L a y e d O u t & g t ; t r u e & l t ; / L a y e d O u t & g t ; & l t ; / a : V a l u e & g t ; & l t ; / a : K e y V a l u e O f D i a g r a m O b j e c t K e y a n y T y p e z b w N T n L X & g t ; & l t ; a : K e y V a l u e O f D i a g r a m O b j e c t K e y a n y T y p e z b w N T n L X & g t ; & l t ; a : K e y & g t ; & l t ; K e y & g t ; C o l u m n s \ C o l u m n 2 2 1 & l t ; / K e y & g t ; & l t ; / a : K e y & g t ; & l t ; a : V a l u e   i : t y p e = " M e a s u r e G r i d N o d e V i e w S t a t e " & g t ; & l t ; C o l u m n & g t ; 2 2 0 & l t ; / C o l u m n & g t ; & l t ; L a y e d O u t & g t ; t r u e & l t ; / L a y e d O u t & g t ; & l t ; / a : V a l u e & g t ; & l t ; / a : K e y V a l u e O f D i a g r a m O b j e c t K e y a n y T y p e z b w N T n L X & g t ; & l t ; a : K e y V a l u e O f D i a g r a m O b j e c t K e y a n y T y p e z b w N T n L X & g t ; & l t ; a : K e y & g t ; & l t ; K e y & g t ; C o l u m n s \ C o l u m n 2 2 2 & l t ; / K e y & g t ; & l t ; / a : K e y & g t ; & l t ; a : V a l u e   i : t y p e = " M e a s u r e G r i d N o d e V i e w S t a t e " & g t ; & l t ; C o l u m n & g t ; 2 2 1 & l t ; / C o l u m n & g t ; & l t ; L a y e d O u t & g t ; t r u e & l t ; / L a y e d O u t & g t ; & l t ; / a : V a l u e & g t ; & l t ; / a : K e y V a l u e O f D i a g r a m O b j e c t K e y a n y T y p e z b w N T n L X & g t ; & l t ; a : K e y V a l u e O f D i a g r a m O b j e c t K e y a n y T y p e z b w N T n L X & g t ; & l t ; a : K e y & g t ; & l t ; K e y & g t ; C o l u m n s \ C o l u m n 2 2 3 & l t ; / K e y & g t ; & l t ; / a : K e y & g t ; & l t ; a : V a l u e   i : t y p e = " M e a s u r e G r i d N o d e V i e w S t a t e " & g t ; & l t ; C o l u m n & g t ; 2 2 2 & l t ; / C o l u m n & g t ; & l t ; L a y e d O u t & g t ; t r u e & l t ; / L a y e d O u t & g t ; & l t ; / a : V a l u e & g t ; & l t ; / a : K e y V a l u e O f D i a g r a m O b j e c t K e y a n y T y p e z b w N T n L X & g t ; & l t ; a : K e y V a l u e O f D i a g r a m O b j e c t K e y a n y T y p e z b w N T n L X & g t ; & l t ; a : K e y & g t ; & l t ; K e y & g t ; C o l u m n s \ C o l u m n 2 2 4 & l t ; / K e y & g t ; & l t ; / a : K e y & g t ; & l t ; a : V a l u e   i : t y p e = " M e a s u r e G r i d N o d e V i e w S t a t e " & g t ; & l t ; C o l u m n & g t ; 2 2 3 & l t ; / C o l u m n & g t ; & l t ; L a y e d O u t & g t ; t r u e & l t ; / L a y e d O u t & g t ; & l t ; / a : V a l u e & g t ; & l t ; / a : K e y V a l u e O f D i a g r a m O b j e c t K e y a n y T y p e z b w N T n L X & g t ; & l t ; a : K e y V a l u e O f D i a g r a m O b j e c t K e y a n y T y p e z b w N T n L X & g t ; & l t ; a : K e y & g t ; & l t ; K e y & g t ; C o l u m n s \ C o l u m n 2 2 5 & l t ; / K e y & g t ; & l t ; / a : K e y & g t ; & l t ; a : V a l u e   i : t y p e = " M e a s u r e G r i d N o d e V i e w S t a t e " & g t ; & l t ; C o l u m n & g t ; 2 2 4 & l t ; / C o l u m n & g t ; & l t ; L a y e d O u t & g t ; t r u e & l t ; / L a y e d O u t & g t ; & l t ; / a : V a l u e & g t ; & l t ; / a : K e y V a l u e O f D i a g r a m O b j e c t K e y a n y T y p e z b w N T n L X & g t ; & l t ; a : K e y V a l u e O f D i a g r a m O b j e c t K e y a n y T y p e z b w N T n L X & g t ; & l t ; a : K e y & g t ; & l t ; K e y & g t ; C o l u m n s \ C o l u m n 2 2 6 & l t ; / K e y & g t ; & l t ; / a : K e y & g t ; & l t ; a : V a l u e   i : t y p e = " M e a s u r e G r i d N o d e V i e w S t a t e " & g t ; & l t ; C o l u m n & g t ; 2 2 5 & l t ; / C o l u m n & g t ; & l t ; L a y e d O u t & g t ; t r u e & l t ; / L a y e d O u t & g t ; & l t ; / a : V a l u e & g t ; & l t ; / a : K e y V a l u e O f D i a g r a m O b j e c t K e y a n y T y p e z b w N T n L X & g t ; & l t ; a : K e y V a l u e O f D i a g r a m O b j e c t K e y a n y T y p e z b w N T n L X & g t ; & l t ; a : K e y & g t ; & l t ; K e y & g t ; C o l u m n s \ C o l u m n 2 2 7 & l t ; / K e y & g t ; & l t ; / a : K e y & g t ; & l t ; a : V a l u e   i : t y p e = " M e a s u r e G r i d N o d e V i e w S t a t e " & g t ; & l t ; C o l u m n & g t ; 2 2 6 & l t ; / C o l u m n & g t ; & l t ; L a y e d O u t & g t ; t r u e & l t ; / L a y e d O u t & g t ; & l t ; / a : V a l u e & g t ; & l t ; / a : K e y V a l u e O f D i a g r a m O b j e c t K e y a n y T y p e z b w N T n L X & g t ; & l t ; a : K e y V a l u e O f D i a g r a m O b j e c t K e y a n y T y p e z b w N T n L X & g t ; & l t ; a : K e y & g t ; & l t ; K e y & g t ; C o l u m n s \ C o l u m n 2 2 8 & l t ; / K e y & g t ; & l t ; / a : K e y & g t ; & l t ; a : V a l u e   i : t y p e = " M e a s u r e G r i d N o d e V i e w S t a t e " & g t ; & l t ; C o l u m n & g t ; 2 2 7 & l t ; / C o l u m n & g t ; & l t ; L a y e d O u t & g t ; t r u e & l t ; / L a y e d O u t & g t ; & l t ; / a : V a l u e & g t ; & l t ; / a : K e y V a l u e O f D i a g r a m O b j e c t K e y a n y T y p e z b w N T n L X & g t ; & l t ; a : K e y V a l u e O f D i a g r a m O b j e c t K e y a n y T y p e z b w N T n L X & g t ; & l t ; a : K e y & g t ; & l t ; K e y & g t ; C o l u m n s \ C o l u m n 2 2 9 & l t ; / K e y & g t ; & l t ; / a : K e y & g t ; & l t ; a : V a l u e   i : t y p e = " M e a s u r e G r i d N o d e V i e w S t a t e " & g t ; & l t ; C o l u m n & g t ; 2 2 8 & l t ; / C o l u m n & g t ; & l t ; L a y e d O u t & g t ; t r u e & l t ; / L a y e d O u t & g t ; & l t ; / a : V a l u e & g t ; & l t ; / a : K e y V a l u e O f D i a g r a m O b j e c t K e y a n y T y p e z b w N T n L X & g t ; & l t ; a : K e y V a l u e O f D i a g r a m O b j e c t K e y a n y T y p e z b w N T n L X & g t ; & l t ; a : K e y & g t ; & l t ; K e y & g t ; C o l u m n s \ C o l u m n 2 3 0 & l t ; / K e y & g t ; & l t ; / a : K e y & g t ; & l t ; a : V a l u e   i : t y p e = " M e a s u r e G r i d N o d e V i e w S t a t e " & g t ; & l t ; C o l u m n & g t ; 2 2 9 & l t ; / C o l u m n & g t ; & l t ; L a y e d O u t & g t ; t r u e & l t ; / L a y e d O u t & g t ; & l t ; / a : V a l u e & g t ; & l t ; / a : K e y V a l u e O f D i a g r a m O b j e c t K e y a n y T y p e z b w N T n L X & g t ; & l t ; a : K e y V a l u e O f D i a g r a m O b j e c t K e y a n y T y p e z b w N T n L X & g t ; & l t ; a : K e y & g t ; & l t ; K e y & g t ; C o l u m n s \ C o l u m n 2 3 1 & l t ; / K e y & g t ; & l t ; / a : K e y & g t ; & l t ; a : V a l u e   i : t y p e = " M e a s u r e G r i d N o d e V i e w S t a t e " & g t ; & l t ; C o l u m n & g t ; 2 3 0 & l t ; / C o l u m n & g t ; & l t ; L a y e d O u t & g t ; t r u e & l t ; / L a y e d O u t & g t ; & l t ; / a : V a l u e & g t ; & l t ; / a : K e y V a l u e O f D i a g r a m O b j e c t K e y a n y T y p e z b w N T n L X & g t ; & l t ; a : K e y V a l u e O f D i a g r a m O b j e c t K e y a n y T y p e z b w N T n L X & g t ; & l t ; a : K e y & g t ; & l t ; K e y & g t ; C o l u m n s \ C o l u m n 2 3 2 & l t ; / K e y & g t ; & l t ; / a : K e y & g t ; & l t ; a : V a l u e   i : t y p e = " M e a s u r e G r i d N o d e V i e w S t a t e " & g t ; & l t ; C o l u m n & g t ; 2 3 1 & l t ; / C o l u m n & g t ; & l t ; L a y e d O u t & g t ; t r u e & l t ; / L a y e d O u t & g t ; & l t ; / a : V a l u e & g t ; & l t ; / a : K e y V a l u e O f D i a g r a m O b j e c t K e y a n y T y p e z b w N T n L X & g t ; & l t ; a : K e y V a l u e O f D i a g r a m O b j e c t K e y a n y T y p e z b w N T n L X & g t ; & l t ; a : K e y & g t ; & l t ; K e y & g t ; C o l u m n s \ C o l u m n 2 3 3 & l t ; / K e y & g t ; & l t ; / a : K e y & g t ; & l t ; a : V a l u e   i : t y p e = " M e a s u r e G r i d N o d e V i e w S t a t e " & g t ; & l t ; C o l u m n & g t ; 2 3 2 & l t ; / C o l u m n & g t ; & l t ; L a y e d O u t & g t ; t r u e & l t ; / L a y e d O u t & g t ; & l t ; / a : V a l u e & g t ; & l t ; / a : K e y V a l u e O f D i a g r a m O b j e c t K e y a n y T y p e z b w N T n L X & g t ; & l t ; a : K e y V a l u e O f D i a g r a m O b j e c t K e y a n y T y p e z b w N T n L X & g t ; & l t ; a : K e y & g t ; & l t ; K e y & g t ; C o l u m n s \ C o l u m n 2 3 4 & l t ; / K e y & g t ; & l t ; / a : K e y & g t ; & l t ; a : V a l u e   i : t y p e = " M e a s u r e G r i d N o d e V i e w S t a t e " & g t ; & l t ; C o l u m n & g t ; 2 3 3 & l t ; / C o l u m n & g t ; & l t ; L a y e d O u t & g t ; t r u e & l t ; / L a y e d O u t & g t ; & l t ; / a : V a l u e & g t ; & l t ; / a : K e y V a l u e O f D i a g r a m O b j e c t K e y a n y T y p e z b w N T n L X & g t ; & l t ; a : K e y V a l u e O f D i a g r a m O b j e c t K e y a n y T y p e z b w N T n L X & g t ; & l t ; a : K e y & g t ; & l t ; K e y & g t ; C o l u m n s \ C o l u m n 2 3 5 & l t ; / K e y & g t ; & l t ; / a : K e y & g t ; & l t ; a : V a l u e   i : t y p e = " M e a s u r e G r i d N o d e V i e w S t a t e " & g t ; & l t ; C o l u m n & g t ; 2 3 4 & l t ; / C o l u m n & g t ; & l t ; L a y e d O u t & g t ; t r u e & l t ; / L a y e d O u t & g t ; & l t ; / a : V a l u e & g t ; & l t ; / a : K e y V a l u e O f D i a g r a m O b j e c t K e y a n y T y p e z b w N T n L X & g t ; & l t ; a : K e y V a l u e O f D i a g r a m O b j e c t K e y a n y T y p e z b w N T n L X & g t ; & l t ; a : K e y & g t ; & l t ; K e y & g t ; C o l u m n s \ C o l u m n 2 3 6 & l t ; / K e y & g t ; & l t ; / a : K e y & g t ; & l t ; a : V a l u e   i : t y p e = " M e a s u r e G r i d N o d e V i e w S t a t e " & g t ; & l t ; C o l u m n & g t ; 2 3 5 & l t ; / C o l u m n & g t ; & l t ; L a y e d O u t & g t ; t r u e & l t ; / L a y e d O u t & g t ; & l t ; / a : V a l u e & g t ; & l t ; / a : K e y V a l u e O f D i a g r a m O b j e c t K e y a n y T y p e z b w N T n L X & g t ; & l t ; a : K e y V a l u e O f D i a g r a m O b j e c t K e y a n y T y p e z b w N T n L X & g t ; & l t ; a : K e y & g t ; & l t ; K e y & g t ; C o l u m n s \ C o l u m n 2 3 7 & l t ; / K e y & g t ; & l t ; / a : K e y & g t ; & l t ; a : V a l u e   i : t y p e = " M e a s u r e G r i d N o d e V i e w S t a t e " & g t ; & l t ; C o l u m n & g t ; 2 3 6 & l t ; / C o l u m n & g t ; & l t ; L a y e d O u t & g t ; t r u e & l t ; / L a y e d O u t & g t ; & l t ; / a : V a l u e & g t ; & l t ; / a : K e y V a l u e O f D i a g r a m O b j e c t K e y a n y T y p e z b w N T n L X & g t ; & l t ; a : K e y V a l u e O f D i a g r a m O b j e c t K e y a n y T y p e z b w N T n L X & g t ; & l t ; a : K e y & g t ; & l t ; K e y & g t ; C o l u m n s \ C o l u m n 2 3 8 & l t ; / K e y & g t ; & l t ; / a : K e y & g t ; & l t ; a : V a l u e   i : t y p e = " M e a s u r e G r i d N o d e V i e w S t a t e " & g t ; & l t ; C o l u m n & g t ; 2 3 7 & l t ; / C o l u m n & g t ; & l t ; L a y e d O u t & g t ; t r u e & l t ; / L a y e d O u t & g t ; & l t ; / a : V a l u e & g t ; & l t ; / a : K e y V a l u e O f D i a g r a m O b j e c t K e y a n y T y p e z b w N T n L X & g t ; & l t ; a : K e y V a l u e O f D i a g r a m O b j e c t K e y a n y T y p e z b w N T n L X & g t ; & l t ; a : K e y & g t ; & l t ; K e y & g t ; C o l u m n s \ C o l u m n 2 3 9 & l t ; / K e y & g t ; & l t ; / a : K e y & g t ; & l t ; a : V a l u e   i : t y p e = " M e a s u r e G r i d N o d e V i e w S t a t e " & g t ; & l t ; C o l u m n & g t ; 2 3 8 & l t ; / C o l u m n & g t ; & l t ; L a y e d O u t & g t ; t r u e & l t ; / L a y e d O u t & g t ; & l t ; / a : V a l u e & g t ; & l t ; / a : K e y V a l u e O f D i a g r a m O b j e c t K e y a n y T y p e z b w N T n L X & g t ; & l t ; a : K e y V a l u e O f D i a g r a m O b j e c t K e y a n y T y p e z b w N T n L X & g t ; & l t ; a : K e y & g t ; & l t ; K e y & g t ; C o l u m n s \ C o l u m n 2 4 0 & l t ; / K e y & g t ; & l t ; / a : K e y & g t ; & l t ; a : V a l u e   i : t y p e = " M e a s u r e G r i d N o d e V i e w S t a t e " & g t ; & l t ; C o l u m n & g t ; 2 3 9 & l t ; / C o l u m n & g t ; & l t ; L a y e d O u t & g t ; t r u e & l t ; / L a y e d O u t & g t ; & l t ; / a : V a l u e & g t ; & l t ; / a : K e y V a l u e O f D i a g r a m O b j e c t K e y a n y T y p e z b w N T n L X & g t ; & l t ; a : K e y V a l u e O f D i a g r a m O b j e c t K e y a n y T y p e z b w N T n L X & g t ; & l t ; a : K e y & g t ; & l t ; K e y & g t ; C o l u m n s \ C o l u m n 2 4 1 & l t ; / K e y & g t ; & l t ; / a : K e y & g t ; & l t ; a : V a l u e   i : t y p e = " M e a s u r e G r i d N o d e V i e w S t a t e " & g t ; & l t ; C o l u m n & g t ; 2 4 0 & l t ; / C o l u m n & g t ; & l t ; L a y e d O u t & g t ; t r u e & l t ; / L a y e d O u t & g t ; & l t ; / a : V a l u e & g t ; & l t ; / a : K e y V a l u e O f D i a g r a m O b j e c t K e y a n y T y p e z b w N T n L X & g t ; & l t ; a : K e y V a l u e O f D i a g r a m O b j e c t K e y a n y T y p e z b w N T n L X & g t ; & l t ; a : K e y & g t ; & l t ; K e y & g t ; C o l u m n s \ C o l u m n 2 4 2 & l t ; / K e y & g t ; & l t ; / a : K e y & g t ; & l t ; a : V a l u e   i : t y p e = " M e a s u r e G r i d N o d e V i e w S t a t e " & g t ; & l t ; C o l u m n & g t ; 2 4 1 & l t ; / C o l u m n & g t ; & l t ; L a y e d O u t & g t ; t r u e & l t ; / L a y e d O u t & g t ; & l t ; / a : V a l u e & g t ; & l t ; / a : K e y V a l u e O f D i a g r a m O b j e c t K e y a n y T y p e z b w N T n L X & g t ; & l t ; a : K e y V a l u e O f D i a g r a m O b j e c t K e y a n y T y p e z b w N T n L X & g t ; & l t ; a : K e y & g t ; & l t ; K e y & g t ; C o l u m n s \ C o l u m n 2 4 3 & l t ; / K e y & g t ; & l t ; / a : K e y & g t ; & l t ; a : V a l u e   i : t y p e = " M e a s u r e G r i d N o d e V i e w S t a t e " & g t ; & l t ; C o l u m n & g t ; 2 4 2 & l t ; / C o l u m n & g t ; & l t ; L a y e d O u t & g t ; t r u e & l t ; / L a y e d O u t & g t ; & l t ; / a : V a l u e & g t ; & l t ; / a : K e y V a l u e O f D i a g r a m O b j e c t K e y a n y T y p e z b w N T n L X & g t ; & l t ; a : K e y V a l u e O f D i a g r a m O b j e c t K e y a n y T y p e z b w N T n L X & g t ; & l t ; a : K e y & g t ; & l t ; K e y & g t ; C o l u m n s \ C o l u m n 2 4 4 & l t ; / K e y & g t ; & l t ; / a : K e y & g t ; & l t ; a : V a l u e   i : t y p e = " M e a s u r e G r i d N o d e V i e w S t a t e " & g t ; & l t ; C o l u m n & g t ; 2 4 3 & l t ; / C o l u m n & g t ; & l t ; L a y e d O u t & g t ; t r u e & l t ; / L a y e d O u t & g t ; & l t ; / a : V a l u e & g t ; & l t ; / a : K e y V a l u e O f D i a g r a m O b j e c t K e y a n y T y p e z b w N T n L X & g t ; & l t ; a : K e y V a l u e O f D i a g r a m O b j e c t K e y a n y T y p e z b w N T n L X & g t ; & l t ; a : K e y & g t ; & l t ; K e y & g t ; C o l u m n s \ C o l u m n 2 4 5 & l t ; / K e y & g t ; & l t ; / a : K e y & g t ; & l t ; a : V a l u e   i : t y p e = " M e a s u r e G r i d N o d e V i e w S t a t e " & g t ; & l t ; C o l u m n & g t ; 2 4 4 & l t ; / C o l u m n & g t ; & l t ; L a y e d O u t & g t ; t r u e & l t ; / L a y e d O u t & g t ; & l t ; / a : V a l u e & g t ; & l t ; / a : K e y V a l u e O f D i a g r a m O b j e c t K e y a n y T y p e z b w N T n L X & g t ; & l t ; a : K e y V a l u e O f D i a g r a m O b j e c t K e y a n y T y p e z b w N T n L X & g t ; & l t ; a : K e y & g t ; & l t ; K e y & g t ; C o l u m n s \ C o l u m n 2 4 6 & l t ; / K e y & g t ; & l t ; / a : K e y & g t ; & l t ; a : V a l u e   i : t y p e = " M e a s u r e G r i d N o d e V i e w S t a t e " & g t ; & l t ; C o l u m n & g t ; 2 4 5 & l t ; / C o l u m n & g t ; & l t ; L a y e d O u t & g t ; t r u e & l t ; / L a y e d O u t & g t ; & l t ; / a : V a l u e & g t ; & l t ; / a : K e y V a l u e O f D i a g r a m O b j e c t K e y a n y T y p e z b w N T n L X & g t ; & l t ; a : K e y V a l u e O f D i a g r a m O b j e c t K e y a n y T y p e z b w N T n L X & g t ; & l t ; a : K e y & g t ; & l t ; K e y & g t ; C o l u m n s \ C o l u m n 2 4 7 & l t ; / K e y & g t ; & l t ; / a : K e y & g t ; & l t ; a : V a l u e   i : t y p e = " M e a s u r e G r i d N o d e V i e w S t a t e " & g t ; & l t ; C o l u m n & g t ; 2 4 6 & l t ; / C o l u m n & g t ; & l t ; L a y e d O u t & g t ; t r u e & l t ; / L a y e d O u t & g t ; & l t ; / a : V a l u e & g t ; & l t ; / a : K e y V a l u e O f D i a g r a m O b j e c t K e y a n y T y p e z b w N T n L X & g t ; & l t ; a : K e y V a l u e O f D i a g r a m O b j e c t K e y a n y T y p e z b w N T n L X & g t ; & l t ; a : K e y & g t ; & l t ; K e y & g t ; C o l u m n s \ C o l u m n 2 4 8 & l t ; / K e y & g t ; & l t ; / a : K e y & g t ; & l t ; a : V a l u e   i : t y p e = " M e a s u r e G r i d N o d e V i e w S t a t e " & g t ; & l t ; C o l u m n & g t ; 2 4 7 & l t ; / C o l u m n & g t ; & l t ; L a y e d O u t & g t ; t r u e & l t ; / L a y e d O u t & g t ; & l t ; / a : V a l u e & g t ; & l t ; / a : K e y V a l u e O f D i a g r a m O b j e c t K e y a n y T y p e z b w N T n L X & g t ; & l t ; a : K e y V a l u e O f D i a g r a m O b j e c t K e y a n y T y p e z b w N T n L X & g t ; & l t ; a : K e y & g t ; & l t ; K e y & g t ; C o l u m n s \ C o l u m n 2 4 9 & l t ; / K e y & g t ; & l t ; / a : K e y & g t ; & l t ; a : V a l u e   i : t y p e = " M e a s u r e G r i d N o d e V i e w S t a t e " & g t ; & l t ; C o l u m n & g t ; 2 4 8 & l t ; / C o l u m n & g t ; & l t ; L a y e d O u t & g t ; t r u e & l t ; / L a y e d O u t & g t ; & l t ; / a : V a l u e & g t ; & l t ; / a : K e y V a l u e O f D i a g r a m O b j e c t K e y a n y T y p e z b w N T n L X & g t ; & l t ; a : K e y V a l u e O f D i a g r a m O b j e c t K e y a n y T y p e z b w N T n L X & g t ; & l t ; a : K e y & g t ; & l t ; K e y & g t ; C o l u m n s \ C o l u m n 2 5 0 & l t ; / K e y & g t ; & l t ; / a : K e y & g t ; & l t ; a : V a l u e   i : t y p e = " M e a s u r e G r i d N o d e V i e w S t a t e " & g t ; & l t ; C o l u m n & g t ; 2 4 9 & l t ; / C o l u m n & g t ; & l t ; L a y e d O u t & g t ; t r u e & l t ; / L a y e d O u t & g t ; & l t ; / a : V a l u e & g t ; & l t ; / a : K e y V a l u e O f D i a g r a m O b j e c t K e y a n y T y p e z b w N T n L X & g t ; & l t ; a : K e y V a l u e O f D i a g r a m O b j e c t K e y a n y T y p e z b w N T n L X & g t ; & l t ; a : K e y & g t ; & l t ; K e y & g t ; C o l u m n s \ C o l u m n 2 5 1 & l t ; / K e y & g t ; & l t ; / a : K e y & g t ; & l t ; a : V a l u e   i : t y p e = " M e a s u r e G r i d N o d e V i e w S t a t e " & g t ; & l t ; C o l u m n & g t ; 2 5 0 & l t ; / C o l u m n & g t ; & l t ; L a y e d O u t & g t ; t r u e & l t ; / L a y e d O u t & g t ; & l t ; / a : V a l u e & g t ; & l t ; / a : K e y V a l u e O f D i a g r a m O b j e c t K e y a n y T y p e z b w N T n L X & g t ; & l t ; a : K e y V a l u e O f D i a g r a m O b j e c t K e y a n y T y p e z b w N T n L X & g t ; & l t ; a : K e y & g t ; & l t ; K e y & g t ; C o l u m n s \ C o l u m n 2 5 2 & l t ; / K e y & g t ; & l t ; / a : K e y & g t ; & l t ; a : V a l u e   i : t y p e = " M e a s u r e G r i d N o d e V i e w S t a t e " & g t ; & l t ; C o l u m n & g t ; 2 5 1 & l t ; / C o l u m n & g t ; & l t ; L a y e d O u t & g t ; t r u e & l t ; / L a y e d O u t & g t ; & l t ; / a : V a l u e & g t ; & l t ; / a : K e y V a l u e O f D i a g r a m O b j e c t K e y a n y T y p e z b w N T n L X & g t ; & l t ; a : K e y V a l u e O f D i a g r a m O b j e c t K e y a n y T y p e z b w N T n L X & g t ; & l t ; a : K e y & g t ; & l t ; K e y & g t ; C o l u m n s \ C o l u m n 2 5 3 & l t ; / K e y & g t ; & l t ; / a : K e y & g t ; & l t ; a : V a l u e   i : t y p e = " M e a s u r e G r i d N o d e V i e w S t a t e " & g t ; & l t ; C o l u m n & g t ; 2 5 2 & l t ; / C o l u m n & g t ; & l t ; L a y e d O u t & g t ; t r u e & l t ; / L a y e d O u t & g t ; & l t ; / a : V a l u e & g t ; & l t ; / a : K e y V a l u e O f D i a g r a m O b j e c t K e y a n y T y p e z b w N T n L X & g t ; & l t ; a : K e y V a l u e O f D i a g r a m O b j e c t K e y a n y T y p e z b w N T n L X & g t ; & l t ; a : K e y & g t ; & l t ; K e y & g t ; C o l u m n s \ C o l u m n 2 5 4 & l t ; / K e y & g t ; & l t ; / a : K e y & g t ; & l t ; a : V a l u e   i : t y p e = " M e a s u r e G r i d N o d e V i e w S t a t e " & g t ; & l t ; C o l u m n & g t ; 2 5 3 & l t ; / C o l u m n & g t ; & l t ; L a y e d O u t & g t ; t r u e & l t ; / L a y e d O u t & g t ; & l t ; / a : V a l u e & g t ; & l t ; / a : K e y V a l u e O f D i a g r a m O b j e c t K e y a n y T y p e z b w N T n L X & g t ; & l t ; a : K e y V a l u e O f D i a g r a m O b j e c t K e y a n y T y p e z b w N T n L X & g t ; & l t ; a : K e y & g t ; & l t ; K e y & g t ; C o l u m n s \ C o l u m n 2 5 5 & l t ; / K e y & g t ; & l t ; / a : K e y & g t ; & l t ; a : V a l u e   i : t y p e = " M e a s u r e G r i d N o d e V i e w S t a t e " & g t ; & l t ; C o l u m n & g t ; 2 5 4 & l t ; / C o l u m n & g t ; & l t ; L a y e d O u t & g t ; t r u e & l t ; / L a y e d O u t & g t ; & l t ; / a : V a l u e & g t ; & l t ; / a : K e y V a l u e O f D i a g r a m O b j e c t K e y a n y T y p e z b w N T n L X & g t ; & l t ; a : K e y V a l u e O f D i a g r a m O b j e c t K e y a n y T y p e z b w N T n L X & g t ; & l t ; a : K e y & g t ; & l t ; K e y & g t ; C o l u m n s \ C o l u m n 2 5 6 & l t ; / K e y & g t ; & l t ; / a : K e y & g t ; & l t ; a : V a l u e   i : t y p e = " M e a s u r e G r i d N o d e V i e w S t a t e " & g t ; & l t ; C o l u m n & g t ; 2 5 5 & l t ; / C o l u m n & g t ; & l t ; L a y e d O u t & g t ; t r u e & l t ; / L a y e d O u t & g t ; & l t ; / a : V a l u e & g t ; & l t ; / a : K e y V a l u e O f D i a g r a m O b j e c t K e y a n y T y p e z b w N T n L X & g t ; & l t ; a : K e y V a l u e O f D i a g r a m O b j e c t K e y a n y T y p e z b w N T n L X & g t ; & l t ; a : K e y & g t ; & l t ; K e y & g t ; C o l u m n s \ C o l u m n 2 5 7 & l t ; / K e y & g t ; & l t ; / a : K e y & g t ; & l t ; a : V a l u e   i : t y p e = " M e a s u r e G r i d N o d e V i e w S t a t e " & g t ; & l t ; C o l u m n & g t ; 2 5 6 & l t ; / C o l u m n & g t ; & l t ; L a y e d O u t & g t ; t r u e & l t ; / L a y e d O u t & g t ; & l t ; / a : V a l u e & g t ; & l t ; / a : K e y V a l u e O f D i a g r a m O b j e c t K e y a n y T y p e z b w N T n L X & g t ; & l t ; a : K e y V a l u e O f D i a g r a m O b j e c t K e y a n y T y p e z b w N T n L X & g t ; & l t ; a : K e y & g t ; & l t ; K e y & g t ; C o l u m n s \ C o l u m n 2 5 8 & l t ; / K e y & g t ; & l t ; / a : K e y & g t ; & l t ; a : V a l u e   i : t y p e = " M e a s u r e G r i d N o d e V i e w S t a t e " & g t ; & l t ; C o l u m n & g t ; 2 5 7 & l t ; / C o l u m n & g t ; & l t ; L a y e d O u t & g t ; t r u e & l t ; / L a y e d O u t & g t ; & l t ; / a : V a l u e & g t ; & l t ; / a : K e y V a l u e O f D i a g r a m O b j e c t K e y a n y T y p e z b w N T n L X & g t ; & l t ; a : K e y V a l u e O f D i a g r a m O b j e c t K e y a n y T y p e z b w N T n L X & g t ; & l t ; a : K e y & g t ; & l t ; K e y & g t ; C o l u m n s \ C o l u m n 2 5 9 & l t ; / K e y & g t ; & l t ; / a : K e y & g t ; & l t ; a : V a l u e   i : t y p e = " M e a s u r e G r i d N o d e V i e w S t a t e " & g t ; & l t ; C o l u m n & g t ; 2 5 8 & l t ; / C o l u m n & g t ; & l t ; L a y e d O u t & g t ; t r u e & l t ; / L a y e d O u t & g t ; & l t ; / a : V a l u e & g t ; & l t ; / a : K e y V a l u e O f D i a g r a m O b j e c t K e y a n y T y p e z b w N T n L X & g t ; & l t ; a : K e y V a l u e O f D i a g r a m O b j e c t K e y a n y T y p e z b w N T n L X & g t ; & l t ; a : K e y & g t ; & l t ; K e y & g t ; C o l u m n s \ C o l u m n 2 6 0 & l t ; / K e y & g t ; & l t ; / a : K e y & g t ; & l t ; a : V a l u e   i : t y p e = " M e a s u r e G r i d N o d e V i e w S t a t e " & g t ; & l t ; C o l u m n & g t ; 2 5 9 & l t ; / C o l u m n & g t ; & l t ; L a y e d O u t & g t ; t r u e & l t ; / L a y e d O u t & g t ; & l t ; / a : V a l u e & g t ; & l t ; / a : K e y V a l u e O f D i a g r a m O b j e c t K e y a n y T y p e z b w N T n L X & g t ; & l t ; a : K e y V a l u e O f D i a g r a m O b j e c t K e y a n y T y p e z b w N T n L X & g t ; & l t ; a : K e y & g t ; & l t ; K e y & g t ; C o l u m n s \ C o l u m n 2 6 1 & l t ; / K e y & g t ; & l t ; / a : K e y & g t ; & l t ; a : V a l u e   i : t y p e = " M e a s u r e G r i d N o d e V i e w S t a t e " & g t ; & l t ; C o l u m n & g t ; 2 6 0 & l t ; / C o l u m n & g t ; & l t ; L a y e d O u t & g t ; t r u e & l t ; / L a y e d O u t & g t ; & l t ; / a : V a l u e & g t ; & l t ; / a : K e y V a l u e O f D i a g r a m O b j e c t K e y a n y T y p e z b w N T n L X & g t ; & l t ; a : K e y V a l u e O f D i a g r a m O b j e c t K e y a n y T y p e z b w N T n L X & g t ; & l t ; a : K e y & g t ; & l t ; K e y & g t ; C o l u m n s \ C o l u m n 2 6 2 & l t ; / K e y & g t ; & l t ; / a : K e y & g t ; & l t ; a : V a l u e   i : t y p e = " M e a s u r e G r i d N o d e V i e w S t a t e " & g t ; & l t ; C o l u m n & g t ; 2 6 1 & l t ; / C o l u m n & g t ; & l t ; L a y e d O u t & g t ; t r u e & l t ; / L a y e d O u t & g t ; & l t ; / a : V a l u e & g t ; & l t ; / a : K e y V a l u e O f D i a g r a m O b j e c t K e y a n y T y p e z b w N T n L X & g t ; & l t ; a : K e y V a l u e O f D i a g r a m O b j e c t K e y a n y T y p e z b w N T n L X & g t ; & l t ; a : K e y & g t ; & l t ; K e y & g t ; C o l u m n s \ C o l u m n 2 6 3 & l t ; / K e y & g t ; & l t ; / a : K e y & g t ; & l t ; a : V a l u e   i : t y p e = " M e a s u r e G r i d N o d e V i e w S t a t e " & g t ; & l t ; C o l u m n & g t ; 2 6 2 & l t ; / C o l u m n & g t ; & l t ; L a y e d O u t & g t ; t r u e & l t ; / L a y e d O u t & g t ; & l t ; / a : V a l u e & g t ; & l t ; / a : K e y V a l u e O f D i a g r a m O b j e c t K e y a n y T y p e z b w N T n L X & g t ; & l t ; a : K e y V a l u e O f D i a g r a m O b j e c t K e y a n y T y p e z b w N T n L X & g t ; & l t ; a : K e y & g t ; & l t ; K e y & g t ; C o l u m n s \ C o l u m n 2 6 4 & l t ; / K e y & g t ; & l t ; / a : K e y & g t ; & l t ; a : V a l u e   i : t y p e = " M e a s u r e G r i d N o d e V i e w S t a t e " & g t ; & l t ; C o l u m n & g t ; 2 6 3 & l t ; / C o l u m n & g t ; & l t ; L a y e d O u t & g t ; t r u e & l t ; / L a y e d O u t & g t ; & l t ; / a : V a l u e & g t ; & l t ; / a : K e y V a l u e O f D i a g r a m O b j e c t K e y a n y T y p e z b w N T n L X & g t ; & l t ; a : K e y V a l u e O f D i a g r a m O b j e c t K e y a n y T y p e z b w N T n L X & g t ; & l t ; a : K e y & g t ; & l t ; K e y & g t ; C o l u m n s \ C o l u m n 2 6 5 & l t ; / K e y & g t ; & l t ; / a : K e y & g t ; & l t ; a : V a l u e   i : t y p e = " M e a s u r e G r i d N o d e V i e w S t a t e " & g t ; & l t ; C o l u m n & g t ; 2 6 4 & l t ; / C o l u m n & g t ; & l t ; L a y e d O u t & g t ; t r u e & l t ; / L a y e d O u t & g t ; & l t ; / a : V a l u e & g t ; & l t ; / a : K e y V a l u e O f D i a g r a m O b j e c t K e y a n y T y p e z b w N T n L X & g t ; & l t ; a : K e y V a l u e O f D i a g r a m O b j e c t K e y a n y T y p e z b w N T n L X & g t ; & l t ; a : K e y & g t ; & l t ; K e y & g t ; C o l u m n s \ C o l u m n 2 6 6 & l t ; / K e y & g t ; & l t ; / a : K e y & g t ; & l t ; a : V a l u e   i : t y p e = " M e a s u r e G r i d N o d e V i e w S t a t e " & g t ; & l t ; C o l u m n & g t ; 2 6 5 & l t ; / C o l u m n & g t ; & l t ; L a y e d O u t & g t ; t r u e & l t ; / L a y e d O u t & g t ; & l t ; / a : V a l u e & g t ; & l t ; / a : K e y V a l u e O f D i a g r a m O b j e c t K e y a n y T y p e z b w N T n L X & g t ; & l t ; a : K e y V a l u e O f D i a g r a m O b j e c t K e y a n y T y p e z b w N T n L X & g t ; & l t ; a : K e y & g t ; & l t ; K e y & g t ; C o l u m n s \ C o l u m n 2 6 7 & l t ; / K e y & g t ; & l t ; / a : K e y & g t ; & l t ; a : V a l u e   i : t y p e = " M e a s u r e G r i d N o d e V i e w S t a t e " & g t ; & l t ; C o l u m n & g t ; 2 6 6 & l t ; / C o l u m n & g t ; & l t ; L a y e d O u t & g t ; t r u e & l t ; / L a y e d O u t & g t ; & l t ; / a : V a l u e & g t ; & l t ; / a : K e y V a l u e O f D i a g r a m O b j e c t K e y a n y T y p e z b w N T n L X & g t ; & l t ; a : K e y V a l u e O f D i a g r a m O b j e c t K e y a n y T y p e z b w N T n L X & g t ; & l t ; a : K e y & g t ; & l t ; K e y & g t ; C o l u m n s \ C o l u m n 2 6 8 & l t ; / K e y & g t ; & l t ; / a : K e y & g t ; & l t ; a : V a l u e   i : t y p e = " M e a s u r e G r i d N o d e V i e w S t a t e " & g t ; & l t ; C o l u m n & g t ; 2 6 7 & l t ; / C o l u m n & g t ; & l t ; L a y e d O u t & g t ; t r u e & l t ; / L a y e d O u t & g t ; & l t ; / a : V a l u e & g t ; & l t ; / a : K e y V a l u e O f D i a g r a m O b j e c t K e y a n y T y p e z b w N T n L X & g t ; & l t ; a : K e y V a l u e O f D i a g r a m O b j e c t K e y a n y T y p e z b w N T n L X & g t ; & l t ; a : K e y & g t ; & l t ; K e y & g t ; C o l u m n s \ C o l u m n 2 6 9 & l t ; / K e y & g t ; & l t ; / a : K e y & g t ; & l t ; a : V a l u e   i : t y p e = " M e a s u r e G r i d N o d e V i e w S t a t e " & g t ; & l t ; C o l u m n & g t ; 2 6 8 & l t ; / C o l u m n & g t ; & l t ; L a y e d O u t & g t ; t r u e & l t ; / L a y e d O u t & g t ; & l t ; / a : V a l u e & g t ; & l t ; / a : K e y V a l u e O f D i a g r a m O b j e c t K e y a n y T y p e z b w N T n L X & g t ; & l t ; a : K e y V a l u e O f D i a g r a m O b j e c t K e y a n y T y p e z b w N T n L X & g t ; & l t ; a : K e y & g t ; & l t ; K e y & g t ; C o l u m n s \ C o l u m n 2 7 0 & l t ; / K e y & g t ; & l t ; / a : K e y & g t ; & l t ; a : V a l u e   i : t y p e = " M e a s u r e G r i d N o d e V i e w S t a t e " & g t ; & l t ; C o l u m n & g t ; 2 6 9 & l t ; / C o l u m n & g t ; & l t ; L a y e d O u t & g t ; t r u e & l t ; / L a y e d O u t & g t ; & l t ; / a : V a l u e & g t ; & l t ; / a : K e y V a l u e O f D i a g r a m O b j e c t K e y a n y T y p e z b w N T n L X & g t ; & l t ; a : K e y V a l u e O f D i a g r a m O b j e c t K e y a n y T y p e z b w N T n L X & g t ; & l t ; a : K e y & g t ; & l t ; K e y & g t ; C o l u m n s \ C o l u m n 2 7 1 & l t ; / K e y & g t ; & l t ; / a : K e y & g t ; & l t ; a : V a l u e   i : t y p e = " M e a s u r e G r i d N o d e V i e w S t a t e " & g t ; & l t ; C o l u m n & g t ; 2 7 0 & l t ; / C o l u m n & g t ; & l t ; L a y e d O u t & g t ; t r u e & l t ; / L a y e d O u t & g t ; & l t ; / a : V a l u e & g t ; & l t ; / a : K e y V a l u e O f D i a g r a m O b j e c t K e y a n y T y p e z b w N T n L X & g t ; & l t ; a : K e y V a l u e O f D i a g r a m O b j e c t K e y a n y T y p e z b w N T n L X & g t ; & l t ; a : K e y & g t ; & l t ; K e y & g t ; C o l u m n s \ C o l u m n 2 7 2 & l t ; / K e y & g t ; & l t ; / a : K e y & g t ; & l t ; a : V a l u e   i : t y p e = " M e a s u r e G r i d N o d e V i e w S t a t e " & g t ; & l t ; C o l u m n & g t ; 2 7 1 & l t ; / C o l u m n & g t ; & l t ; L a y e d O u t & g t ; t r u e & l t ; / L a y e d O u t & g t ; & l t ; / a : V a l u e & g t ; & l t ; / a : K e y V a l u e O f D i a g r a m O b j e c t K e y a n y T y p e z b w N T n L X & g t ; & l t ; a : K e y V a l u e O f D i a g r a m O b j e c t K e y a n y T y p e z b w N T n L X & g t ; & l t ; a : K e y & g t ; & l t ; K e y & g t ; C o l u m n s \ C o l u m n 2 7 3 & l t ; / K e y & g t ; & l t ; / a : K e y & g t ; & l t ; a : V a l u e   i : t y p e = " M e a s u r e G r i d N o d e V i e w S t a t e " & g t ; & l t ; C o l u m n & g t ; 2 7 2 & l t ; / C o l u m n & g t ; & l t ; L a y e d O u t & g t ; t r u e & l t ; / L a y e d O u t & g t ; & l t ; / a : V a l u e & g t ; & l t ; / a : K e y V a l u e O f D i a g r a m O b j e c t K e y a n y T y p e z b w N T n L X & g t ; & l t ; a : K e y V a l u e O f D i a g r a m O b j e c t K e y a n y T y p e z b w N T n L X & g t ; & l t ; a : K e y & g t ; & l t ; K e y & g t ; C o l u m n s \ C o l u m n 2 7 4 & l t ; / K e y & g t ; & l t ; / a : K e y & g t ; & l t ; a : V a l u e   i : t y p e = " M e a s u r e G r i d N o d e V i e w S t a t e " & g t ; & l t ; C o l u m n & g t ; 2 7 3 & l t ; / C o l u m n & g t ; & l t ; L a y e d O u t & g t ; t r u e & l t ; / L a y e d O u t & g t ; & l t ; / a : V a l u e & g t ; & l t ; / a : K e y V a l u e O f D i a g r a m O b j e c t K e y a n y T y p e z b w N T n L X & g t ; & l t ; a : K e y V a l u e O f D i a g r a m O b j e c t K e y a n y T y p e z b w N T n L X & g t ; & l t ; a : K e y & g t ; & l t ; K e y & g t ; C o l u m n s \ C o l u m n 2 7 5 & l t ; / K e y & g t ; & l t ; / a : K e y & g t ; & l t ; a : V a l u e   i : t y p e = " M e a s u r e G r i d N o d e V i e w S t a t e " & g t ; & l t ; C o l u m n & g t ; 2 7 4 & l t ; / C o l u m n & g t ; & l t ; L a y e d O u t & g t ; t r u e & l t ; / L a y e d O u t & g t ; & l t ; / a : V a l u e & g t ; & l t ; / a : K e y V a l u e O f D i a g r a m O b j e c t K e y a n y T y p e z b w N T n L X & g t ; & l t ; a : K e y V a l u e O f D i a g r a m O b j e c t K e y a n y T y p e z b w N T n L X & g t ; & l t ; a : K e y & g t ; & l t ; K e y & g t ; C o l u m n s \ C o l u m n 2 7 6 & l t ; / K e y & g t ; & l t ; / a : K e y & g t ; & l t ; a : V a l u e   i : t y p e = " M e a s u r e G r i d N o d e V i e w S t a t e " & g t ; & l t ; C o l u m n & g t ; 2 7 5 & l t ; / C o l u m n & g t ; & l t ; L a y e d O u t & g t ; t r u e & l t ; / L a y e d O u t & g t ; & l t ; / a : V a l u e & g t ; & l t ; / a : K e y V a l u e O f D i a g r a m O b j e c t K e y a n y T y p e z b w N T n L X & g t ; & l t ; a : K e y V a l u e O f D i a g r a m O b j e c t K e y a n y T y p e z b w N T n L X & g t ; & l t ; a : K e y & g t ; & l t ; K e y & g t ; C o l u m n s \ C o l u m n 2 7 7 & l t ; / K e y & g t ; & l t ; / a : K e y & g t ; & l t ; a : V a l u e   i : t y p e = " M e a s u r e G r i d N o d e V i e w S t a t e " & g t ; & l t ; C o l u m n & g t ; 2 7 6 & l t ; / C o l u m n & g t ; & l t ; L a y e d O u t & g t ; t r u e & l t ; / L a y e d O u t & g t ; & l t ; / a : V a l u e & g t ; & l t ; / a : K e y V a l u e O f D i a g r a m O b j e c t K e y a n y T y p e z b w N T n L X & g t ; & l t ; a : K e y V a l u e O f D i a g r a m O b j e c t K e y a n y T y p e z b w N T n L X & g t ; & l t ; a : K e y & g t ; & l t ; K e y & g t ; C o l u m n s \ C o l u m n 2 7 8 & l t ; / K e y & g t ; & l t ; / a : K e y & g t ; & l t ; a : V a l u e   i : t y p e = " M e a s u r e G r i d N o d e V i e w S t a t e " & g t ; & l t ; C o l u m n & g t ; 2 7 7 & l t ; / C o l u m n & g t ; & l t ; L a y e d O u t & g t ; t r u e & l t ; / L a y e d O u t & g t ; & l t ; / a : V a l u e & g t ; & l t ; / a : K e y V a l u e O f D i a g r a m O b j e c t K e y a n y T y p e z b w N T n L X & g t ; & l t ; a : K e y V a l u e O f D i a g r a m O b j e c t K e y a n y T y p e z b w N T n L X & g t ; & l t ; a : K e y & g t ; & l t ; K e y & g t ; C o l u m n s \ C o l u m n 2 7 9 & l t ; / K e y & g t ; & l t ; / a : K e y & g t ; & l t ; a : V a l u e   i : t y p e = " M e a s u r e G r i d N o d e V i e w S t a t e " & g t ; & l t ; C o l u m n & g t ; 2 7 8 & l t ; / C o l u m n & g t ; & l t ; L a y e d O u t & g t ; t r u e & l t ; / L a y e d O u t & g t ; & l t ; / a : V a l u e & g t ; & l t ; / a : K e y V a l u e O f D i a g r a m O b j e c t K e y a n y T y p e z b w N T n L X & g t ; & l t ; a : K e y V a l u e O f D i a g r a m O b j e c t K e y a n y T y p e z b w N T n L X & g t ; & l t ; a : K e y & g t ; & l t ; K e y & g t ; C o l u m n s \ C o l u m n 2 8 0 & l t ; / K e y & g t ; & l t ; / a : K e y & g t ; & l t ; a : V a l u e   i : t y p e = " M e a s u r e G r i d N o d e V i e w S t a t e " & g t ; & l t ; C o l u m n & g t ; 2 7 9 & l t ; / C o l u m n & g t ; & l t ; L a y e d O u t & g t ; t r u e & l t ; / L a y e d O u t & g t ; & l t ; / a : V a l u e & g t ; & l t ; / a : K e y V a l u e O f D i a g r a m O b j e c t K e y a n y T y p e z b w N T n L X & g t ; & l t ; a : K e y V a l u e O f D i a g r a m O b j e c t K e y a n y T y p e z b w N T n L X & g t ; & l t ; a : K e y & g t ; & l t ; K e y & g t ; C o l u m n s \ C o l u m n 2 8 1 & l t ; / K e y & g t ; & l t ; / a : K e y & g t ; & l t ; a : V a l u e   i : t y p e = " M e a s u r e G r i d N o d e V i e w S t a t e " & g t ; & l t ; C o l u m n & g t ; 2 8 0 & l t ; / C o l u m n & g t ; & l t ; L a y e d O u t & g t ; t r u e & l t ; / L a y e d O u t & g t ; & l t ; / a : V a l u e & g t ; & l t ; / a : K e y V a l u e O f D i a g r a m O b j e c t K e y a n y T y p e z b w N T n L X & g t ; & l t ; a : K e y V a l u e O f D i a g r a m O b j e c t K e y a n y T y p e z b w N T n L X & g t ; & l t ; a : K e y & g t ; & l t ; K e y & g t ; C o l u m n s \ C o l u m n 2 8 2 & l t ; / K e y & g t ; & l t ; / a : K e y & g t ; & l t ; a : V a l u e   i : t y p e = " M e a s u r e G r i d N o d e V i e w S t a t e " & g t ; & l t ; C o l u m n & g t ; 2 8 1 & l t ; / C o l u m n & g t ; & l t ; L a y e d O u t & g t ; t r u e & l t ; / L a y e d O u t & g t ; & l t ; / a : V a l u e & g t ; & l t ; / a : K e y V a l u e O f D i a g r a m O b j e c t K e y a n y T y p e z b w N T n L X & g t ; & l t ; a : K e y V a l u e O f D i a g r a m O b j e c t K e y a n y T y p e z b w N T n L X & g t ; & l t ; a : K e y & g t ; & l t ; K e y & g t ; C o l u m n s \ C o l u m n 2 8 3 & l t ; / K e y & g t ; & l t ; / a : K e y & g t ; & l t ; a : V a l u e   i : t y p e = " M e a s u r e G r i d N o d e V i e w S t a t e " & g t ; & l t ; C o l u m n & g t ; 2 8 2 & l t ; / C o l u m n & g t ; & l t ; L a y e d O u t & g t ; t r u e & l t ; / L a y e d O u t & g t ; & l t ; / a : V a l u e & g t ; & l t ; / a : K e y V a l u e O f D i a g r a m O b j e c t K e y a n y T y p e z b w N T n L X & g t ; & l t ; a : K e y V a l u e O f D i a g r a m O b j e c t K e y a n y T y p e z b w N T n L X & g t ; & l t ; a : K e y & g t ; & l t ; K e y & g t ; C o l u m n s \ C o l u m n 2 8 4 & l t ; / K e y & g t ; & l t ; / a : K e y & g t ; & l t ; a : V a l u e   i : t y p e = " M e a s u r e G r i d N o d e V i e w S t a t e " & g t ; & l t ; C o l u m n & g t ; 2 8 3 & l t ; / C o l u m n & g t ; & l t ; L a y e d O u t & g t ; t r u e & l t ; / L a y e d O u t & g t ; & l t ; / a : V a l u e & g t ; & l t ; / a : K e y V a l u e O f D i a g r a m O b j e c t K e y a n y T y p e z b w N T n L X & g t ; & l t ; a : K e y V a l u e O f D i a g r a m O b j e c t K e y a n y T y p e z b w N T n L X & g t ; & l t ; a : K e y & g t ; & l t ; K e y & g t ; C o l u m n s \ C o l u m n 2 8 5 & l t ; / K e y & g t ; & l t ; / a : K e y & g t ; & l t ; a : V a l u e   i : t y p e = " M e a s u r e G r i d N o d e V i e w S t a t e " & g t ; & l t ; C o l u m n & g t ; 2 8 4 & l t ; / C o l u m n & g t ; & l t ; L a y e d O u t & g t ; t r u e & l t ; / L a y e d O u t & g t ; & l t ; / a : V a l u e & g t ; & l t ; / a : K e y V a l u e O f D i a g r a m O b j e c t K e y a n y T y p e z b w N T n L X & g t ; & l t ; a : K e y V a l u e O f D i a g r a m O b j e c t K e y a n y T y p e z b w N T n L X & g t ; & l t ; a : K e y & g t ; & l t ; K e y & g t ; C o l u m n s \ C o l u m n 2 8 6 & l t ; / K e y & g t ; & l t ; / a : K e y & g t ; & l t ; a : V a l u e   i : t y p e = " M e a s u r e G r i d N o d e V i e w S t a t e " & g t ; & l t ; C o l u m n & g t ; 2 8 5 & l t ; / C o l u m n & g t ; & l t ; L a y e d O u t & g t ; t r u e & l t ; / L a y e d O u t & g t ; & l t ; / a : V a l u e & g t ; & l t ; / a : K e y V a l u e O f D i a g r a m O b j e c t K e y a n y T y p e z b w N T n L X & g t ; & l t ; a : K e y V a l u e O f D i a g r a m O b j e c t K e y a n y T y p e z b w N T n L X & g t ; & l t ; a : K e y & g t ; & l t ; K e y & g t ; C o l u m n s \ C o l u m n 2 8 7 & l t ; / K e y & g t ; & l t ; / a : K e y & g t ; & l t ; a : V a l u e   i : t y p e = " M e a s u r e G r i d N o d e V i e w S t a t e " & g t ; & l t ; C o l u m n & g t ; 2 8 6 & l t ; / C o l u m n & g t ; & l t ; L a y e d O u t & g t ; t r u e & l t ; / L a y e d O u t & g t ; & l t ; / a : V a l u e & g t ; & l t ; / a : K e y V a l u e O f D i a g r a m O b j e c t K e y a n y T y p e z b w N T n L X & g t ; & l t ; a : K e y V a l u e O f D i a g r a m O b j e c t K e y a n y T y p e z b w N T n L X & g t ; & l t ; a : K e y & g t ; & l t ; K e y & g t ; C o l u m n s \ C o l u m n 2 8 8 & l t ; / K e y & g t ; & l t ; / a : K e y & g t ; & l t ; a : V a l u e   i : t y p e = " M e a s u r e G r i d N o d e V i e w S t a t e " & g t ; & l t ; C o l u m n & g t ; 2 8 7 & l t ; / C o l u m n & g t ; & l t ; L a y e d O u t & g t ; t r u e & l t ; / L a y e d O u t & g t ; & l t ; / a : V a l u e & g t ; & l t ; / a : K e y V a l u e O f D i a g r a m O b j e c t K e y a n y T y p e z b w N T n L X & g t ; & l t ; a : K e y V a l u e O f D i a g r a m O b j e c t K e y a n y T y p e z b w N T n L X & g t ; & l t ; a : K e y & g t ; & l t ; K e y & g t ; C o l u m n s \ C o l u m n 2 8 9 & l t ; / K e y & g t ; & l t ; / a : K e y & g t ; & l t ; a : V a l u e   i : t y p e = " M e a s u r e G r i d N o d e V i e w S t a t e " & g t ; & l t ; C o l u m n & g t ; 2 8 8 & l t ; / C o l u m n & g t ; & l t ; L a y e d O u t & g t ; t r u e & l t ; / L a y e d O u t & g t ; & l t ; / a : V a l u e & g t ; & l t ; / a : K e y V a l u e O f D i a g r a m O b j e c t K e y a n y T y p e z b w N T n L X & g t ; & l t ; a : K e y V a l u e O f D i a g r a m O b j e c t K e y a n y T y p e z b w N T n L X & g t ; & l t ; a : K e y & g t ; & l t ; K e y & g t ; C o l u m n s \ C o l u m n 2 9 0 & l t ; / K e y & g t ; & l t ; / a : K e y & g t ; & l t ; a : V a l u e   i : t y p e = " M e a s u r e G r i d N o d e V i e w S t a t e " & g t ; & l t ; C o l u m n & g t ; 2 8 9 & l t ; / C o l u m n & g t ; & l t ; L a y e d O u t & g t ; t r u e & l t ; / L a y e d O u t & g t ; & l t ; / a : V a l u e & g t ; & l t ; / a : K e y V a l u e O f D i a g r a m O b j e c t K e y a n y T y p e z b w N T n L X & g t ; & l t ; a : K e y V a l u e O f D i a g r a m O b j e c t K e y a n y T y p e z b w N T n L X & g t ; & l t ; a : K e y & g t ; & l t ; K e y & g t ; C o l u m n s \ C o l u m n 2 9 1 & l t ; / K e y & g t ; & l t ; / a : K e y & g t ; & l t ; a : V a l u e   i : t y p e = " M e a s u r e G r i d N o d e V i e w S t a t e " & g t ; & l t ; C o l u m n & g t ; 2 9 0 & l t ; / C o l u m n & g t ; & l t ; L a y e d O u t & g t ; t r u e & l t ; / L a y e d O u t & g t ; & l t ; / a : V a l u e & g t ; & l t ; / a : K e y V a l u e O f D i a g r a m O b j e c t K e y a n y T y p e z b w N T n L X & g t ; & l t ; a : K e y V a l u e O f D i a g r a m O b j e c t K e y a n y T y p e z b w N T n L X & g t ; & l t ; a : K e y & g t ; & l t ; K e y & g t ; C o l u m n s \ C o l u m n 2 9 2 & l t ; / K e y & g t ; & l t ; / a : K e y & g t ; & l t ; a : V a l u e   i : t y p e = " M e a s u r e G r i d N o d e V i e w S t a t e " & g t ; & l t ; C o l u m n & g t ; 2 9 1 & l t ; / C o l u m n & g t ; & l t ; L a y e d O u t & g t ; t r u e & l t ; / L a y e d O u t & g t ; & l t ; / a : V a l u e & g t ; & l t ; / a : K e y V a l u e O f D i a g r a m O b j e c t K e y a n y T y p e z b w N T n L X & g t ; & l t ; a : K e y V a l u e O f D i a g r a m O b j e c t K e y a n y T y p e z b w N T n L X & g t ; & l t ; a : K e y & g t ; & l t ; K e y & g t ; C o l u m n s \ C o l u m n 2 9 3 & l t ; / K e y & g t ; & l t ; / a : K e y & g t ; & l t ; a : V a l u e   i : t y p e = " M e a s u r e G r i d N o d e V i e w S t a t e " & g t ; & l t ; C o l u m n & g t ; 2 9 2 & l t ; / C o l u m n & g t ; & l t ; L a y e d O u t & g t ; t r u e & l t ; / L a y e d O u t & g t ; & l t ; / a : V a l u e & g t ; & l t ; / a : K e y V a l u e O f D i a g r a m O b j e c t K e y a n y T y p e z b w N T n L X & g t ; & l t ; a : K e y V a l u e O f D i a g r a m O b j e c t K e y a n y T y p e z b w N T n L X & g t ; & l t ; a : K e y & g t ; & l t ; K e y & g t ; C o l u m n s \ C o l u m n 2 9 4 & l t ; / K e y & g t ; & l t ; / a : K e y & g t ; & l t ; a : V a l u e   i : t y p e = " M e a s u r e G r i d N o d e V i e w S t a t e " & g t ; & l t ; C o l u m n & g t ; 2 9 3 & l t ; / C o l u m n & g t ; & l t ; L a y e d O u t & g t ; t r u e & l t ; / L a y e d O u t & g t ; & l t ; / a : V a l u e & g t ; & l t ; / a : K e y V a l u e O f D i a g r a m O b j e c t K e y a n y T y p e z b w N T n L X & g t ; & l t ; a : K e y V a l u e O f D i a g r a m O b j e c t K e y a n y T y p e z b w N T n L X & g t ; & l t ; a : K e y & g t ; & l t ; K e y & g t ; C o l u m n s \ C o l u m n 2 9 5 & l t ; / K e y & g t ; & l t ; / a : K e y & g t ; & l t ; a : V a l u e   i : t y p e = " M e a s u r e G r i d N o d e V i e w S t a t e " & g t ; & l t ; C o l u m n & g t ; 2 9 4 & l t ; / C o l u m n & g t ; & l t ; L a y e d O u t & g t ; t r u e & l t ; / L a y e d O u t & g t ; & l t ; / a : V a l u e & g t ; & l t ; / a : K e y V a l u e O f D i a g r a m O b j e c t K e y a n y T y p e z b w N T n L X & g t ; & l t ; a : K e y V a l u e O f D i a g r a m O b j e c t K e y a n y T y p e z b w N T n L X & g t ; & l t ; a : K e y & g t ; & l t ; K e y & g t ; C o l u m n s \ C o l u m n 2 9 6 & l t ; / K e y & g t ; & l t ; / a : K e y & g t ; & l t ; a : V a l u e   i : t y p e = " M e a s u r e G r i d N o d e V i e w S t a t e " & g t ; & l t ; C o l u m n & g t ; 2 9 5 & l t ; / C o l u m n & g t ; & l t ; L a y e d O u t & g t ; t r u e & l t ; / L a y e d O u t & g t ; & l t ; / a : V a l u e & g t ; & l t ; / a : K e y V a l u e O f D i a g r a m O b j e c t K e y a n y T y p e z b w N T n L X & g t ; & l t ; a : K e y V a l u e O f D i a g r a m O b j e c t K e y a n y T y p e z b w N T n L X & g t ; & l t ; a : K e y & g t ; & l t ; K e y & g t ; C o l u m n s \ C o l u m n 2 9 7 & l t ; / K e y & g t ; & l t ; / a : K e y & g t ; & l t ; a : V a l u e   i : t y p e = " M e a s u r e G r i d N o d e V i e w S t a t e " & g t ; & l t ; C o l u m n & g t ; 2 9 6 & l t ; / C o l u m n & g t ; & l t ; L a y e d O u t & g t ; t r u e & l t ; / L a y e d O u t & g t ; & l t ; / a : V a l u e & g t ; & l t ; / a : K e y V a l u e O f D i a g r a m O b j e c t K e y a n y T y p e z b w N T n L X & g t ; & l t ; a : K e y V a l u e O f D i a g r a m O b j e c t K e y a n y T y p e z b w N T n L X & g t ; & l t ; a : K e y & g t ; & l t ; K e y & g t ; C o l u m n s \ C o l u m n 2 9 8 & l t ; / K e y & g t ; & l t ; / a : K e y & g t ; & l t ; a : V a l u e   i : t y p e = " M e a s u r e G r i d N o d e V i e w S t a t e " & g t ; & l t ; C o l u m n & g t ; 2 9 7 & l t ; / C o l u m n & g t ; & l t ; L a y e d O u t & g t ; t r u e & l t ; / L a y e d O u t & g t ; & l t ; / a : V a l u e & g t ; & l t ; / a : K e y V a l u e O f D i a g r a m O b j e c t K e y a n y T y p e z b w N T n L X & g t ; & l t ; a : K e y V a l u e O f D i a g r a m O b j e c t K e y a n y T y p e z b w N T n L X & g t ; & l t ; a : K e y & g t ; & l t ; K e y & g t ; C o l u m n s \ C o l u m n 2 9 9 & l t ; / K e y & g t ; & l t ; / a : K e y & g t ; & l t ; a : V a l u e   i : t y p e = " M e a s u r e G r i d N o d e V i e w S t a t e " & g t ; & l t ; C o l u m n & g t ; 2 9 8 & l t ; / C o l u m n & g t ; & l t ; L a y e d O u t & g t ; t r u e & l t ; / L a y e d O u t & g t ; & l t ; / a : V a l u e & g t ; & l t ; / a : K e y V a l u e O f D i a g r a m O b j e c t K e y a n y T y p e z b w N T n L X & g t ; & l t ; a : K e y V a l u e O f D i a g r a m O b j e c t K e y a n y T y p e z b w N T n L X & g t ; & l t ; a : K e y & g t ; & l t ; K e y & g t ; C o l u m n s \ C o l u m n 3 0 0 & l t ; / K e y & g t ; & l t ; / a : K e y & g t ; & l t ; a : V a l u e   i : t y p e = " M e a s u r e G r i d N o d e V i e w S t a t e " & g t ; & l t ; C o l u m n & g t ; 2 9 9 & l t ; / C o l u m n & g t ; & l t ; L a y e d O u t & g t ; t r u e & l t ; / L a y e d O u t & g t ; & l t ; / a : V a l u e & g t ; & l t ; / a : K e y V a l u e O f D i a g r a m O b j e c t K e y a n y T y p e z b w N T n L X & g t ; & l t ; a : K e y V a l u e O f D i a g r a m O b j e c t K e y a n y T y p e z b w N T n L X & g t ; & l t ; a : K e y & g t ; & l t ; K e y & g t ; C o l u m n s \ C o l u m n 3 0 1 & l t ; / K e y & g t ; & l t ; / a : K e y & g t ; & l t ; a : V a l u e   i : t y p e = " M e a s u r e G r i d N o d e V i e w S t a t e " & g t ; & l t ; C o l u m n & g t ; 3 0 0 & l t ; / C o l u m n & g t ; & l t ; L a y e d O u t & g t ; t r u e & l t ; / L a y e d O u t & g t ; & l t ; / a : V a l u e & g t ; & l t ; / a : K e y V a l u e O f D i a g r a m O b j e c t K e y a n y T y p e z b w N T n L X & g t ; & l t ; a : K e y V a l u e O f D i a g r a m O b j e c t K e y a n y T y p e z b w N T n L X & g t ; & l t ; a : K e y & g t ; & l t ; K e y & g t ; C o l u m n s \ C o l u m n 3 0 2 & l t ; / K e y & g t ; & l t ; / a : K e y & g t ; & l t ; a : V a l u e   i : t y p e = " M e a s u r e G r i d N o d e V i e w S t a t e " & g t ; & l t ; C o l u m n & g t ; 3 0 1 & l t ; / C o l u m n & g t ; & l t ; L a y e d O u t & g t ; t r u e & l t ; / L a y e d O u t & g t ; & l t ; / a : V a l u e & g t ; & l t ; / a : K e y V a l u e O f D i a g r a m O b j e c t K e y a n y T y p e z b w N T n L X & g t ; & l t ; a : K e y V a l u e O f D i a g r a m O b j e c t K e y a n y T y p e z b w N T n L X & g t ; & l t ; a : K e y & g t ; & l t ; K e y & g t ; C o l u m n s \ C o l u m n 3 0 3 & l t ; / K e y & g t ; & l t ; / a : K e y & g t ; & l t ; a : V a l u e   i : t y p e = " M e a s u r e G r i d N o d e V i e w S t a t e " & g t ; & l t ; C o l u m n & g t ; 3 0 2 & l t ; / C o l u m n & g t ; & l t ; L a y e d O u t & g t ; t r u e & l t ; / L a y e d O u t & g t ; & l t ; / a : V a l u e & g t ; & l t ; / a : K e y V a l u e O f D i a g r a m O b j e c t K e y a n y T y p e z b w N T n L X & g t ; & l t ; a : K e y V a l u e O f D i a g r a m O b j e c t K e y a n y T y p e z b w N T n L X & g t ; & l t ; a : K e y & g t ; & l t ; K e y & g t ; C o l u m n s \ C o l u m n 3 0 4 & l t ; / K e y & g t ; & l t ; / a : K e y & g t ; & l t ; a : V a l u e   i : t y p e = " M e a s u r e G r i d N o d e V i e w S t a t e " & g t ; & l t ; C o l u m n & g t ; 3 0 3 & l t ; / C o l u m n & g t ; & l t ; L a y e d O u t & g t ; t r u e & l t ; / L a y e d O u t & g t ; & l t ; / a : V a l u e & g t ; & l t ; / a : K e y V a l u e O f D i a g r a m O b j e c t K e y a n y T y p e z b w N T n L X & g t ; & l t ; a : K e y V a l u e O f D i a g r a m O b j e c t K e y a n y T y p e z b w N T n L X & g t ; & l t ; a : K e y & g t ; & l t ; K e y & g t ; C o l u m n s \ C o l u m n 3 0 5 & l t ; / K e y & g t ; & l t ; / a : K e y & g t ; & l t ; a : V a l u e   i : t y p e = " M e a s u r e G r i d N o d e V i e w S t a t e " & g t ; & l t ; C o l u m n & g t ; 3 0 4 & l t ; / C o l u m n & g t ; & l t ; L a y e d O u t & g t ; t r u e & l t ; / L a y e d O u t & g t ; & l t ; / a : V a l u e & g t ; & l t ; / a : K e y V a l u e O f D i a g r a m O b j e c t K e y a n y T y p e z b w N T n L X & g t ; & l t ; a : K e y V a l u e O f D i a g r a m O b j e c t K e y a n y T y p e z b w N T n L X & g t ; & l t ; a : K e y & g t ; & l t ; K e y & g t ; C o l u m n s \ C o l u m n 3 0 6 & l t ; / K e y & g t ; & l t ; / a : K e y & g t ; & l t ; a : V a l u e   i : t y p e = " M e a s u r e G r i d N o d e V i e w S t a t e " & g t ; & l t ; C o l u m n & g t ; 3 0 5 & l t ; / C o l u m n & g t ; & l t ; L a y e d O u t & g t ; t r u e & l t ; / L a y e d O u t & g t ; & l t ; / a : V a l u e & g t ; & l t ; / a : K e y V a l u e O f D i a g r a m O b j e c t K e y a n y T y p e z b w N T n L X & g t ; & l t ; a : K e y V a l u e O f D i a g r a m O b j e c t K e y a n y T y p e z b w N T n L X & g t ; & l t ; a : K e y & g t ; & l t ; K e y & g t ; C o l u m n s \ C o l u m n 3 0 7 & l t ; / K e y & g t ; & l t ; / a : K e y & g t ; & l t ; a : V a l u e   i : t y p e = " M e a s u r e G r i d N o d e V i e w S t a t e " & g t ; & l t ; C o l u m n & g t ; 3 0 6 & l t ; / C o l u m n & g t ; & l t ; L a y e d O u t & g t ; t r u e & l t ; / L a y e d O u t & g t ; & l t ; / a : V a l u e & g t ; & l t ; / a : K e y V a l u e O f D i a g r a m O b j e c t K e y a n y T y p e z b w N T n L X & g t ; & l t ; a : K e y V a l u e O f D i a g r a m O b j e c t K e y a n y T y p e z b w N T n L X & g t ; & l t ; a : K e y & g t ; & l t ; K e y & g t ; C o l u m n s \ C o l u m n 3 0 8 & l t ; / K e y & g t ; & l t ; / a : K e y & g t ; & l t ; a : V a l u e   i : t y p e = " M e a s u r e G r i d N o d e V i e w S t a t e " & g t ; & l t ; C o l u m n & g t ; 3 0 7 & l t ; / C o l u m n & g t ; & l t ; L a y e d O u t & g t ; t r u e & l t ; / L a y e d O u t & g t ; & l t ; / a : V a l u e & g t ; & l t ; / a : K e y V a l u e O f D i a g r a m O b j e c t K e y a n y T y p e z b w N T n L X & g t ; & l t ; a : K e y V a l u e O f D i a g r a m O b j e c t K e y a n y T y p e z b w N T n L X & g t ; & l t ; a : K e y & g t ; & l t ; K e y & g t ; C o l u m n s \ C o l u m n 3 0 9 & l t ; / K e y & g t ; & l t ; / a : K e y & g t ; & l t ; a : V a l u e   i : t y p e = " M e a s u r e G r i d N o d e V i e w S t a t e " & g t ; & l t ; C o l u m n & g t ; 3 0 8 & l t ; / C o l u m n & g t ; & l t ; L a y e d O u t & g t ; t r u e & l t ; / L a y e d O u t & g t ; & l t ; / a : V a l u e & g t ; & l t ; / a : K e y V a l u e O f D i a g r a m O b j e c t K e y a n y T y p e z b w N T n L X & g t ; & l t ; a : K e y V a l u e O f D i a g r a m O b j e c t K e y a n y T y p e z b w N T n L X & g t ; & l t ; a : K e y & g t ; & l t ; K e y & g t ; C o l u m n s \ C o l u m n 3 1 0 & l t ; / K e y & g t ; & l t ; / a : K e y & g t ; & l t ; a : V a l u e   i : t y p e = " M e a s u r e G r i d N o d e V i e w S t a t e " & g t ; & l t ; C o l u m n & g t ; 3 0 9 & l t ; / C o l u m n & g t ; & l t ; L a y e d O u t & g t ; t r u e & l t ; / L a y e d O u t & g t ; & l t ; / a : V a l u e & g t ; & l t ; / a : K e y V a l u e O f D i a g r a m O b j e c t K e y a n y T y p e z b w N T n L X & g t ; & l t ; a : K e y V a l u e O f D i a g r a m O b j e c t K e y a n y T y p e z b w N T n L X & g t ; & l t ; a : K e y & g t ; & l t ; K e y & g t ; C o l u m n s \ C o l u m n 3 1 1 & l t ; / K e y & g t ; & l t ; / a : K e y & g t ; & l t ; a : V a l u e   i : t y p e = " M e a s u r e G r i d N o d e V i e w S t a t e " & g t ; & l t ; C o l u m n & g t ; 3 1 0 & l t ; / C o l u m n & g t ; & l t ; L a y e d O u t & g t ; t r u e & l t ; / L a y e d O u t & g t ; & l t ; / a : V a l u e & g t ; & l t ; / a : K e y V a l u e O f D i a g r a m O b j e c t K e y a n y T y p e z b w N T n L X & g t ; & l t ; a : K e y V a l u e O f D i a g r a m O b j e c t K e y a n y T y p e z b w N T n L X & g t ; & l t ; a : K e y & g t ; & l t ; K e y & g t ; C o l u m n s \ C o l u m n 3 1 2 & l t ; / K e y & g t ; & l t ; / a : K e y & g t ; & l t ; a : V a l u e   i : t y p e = " M e a s u r e G r i d N o d e V i e w S t a t e " & g t ; & l t ; C o l u m n & g t ; 3 1 1 & l t ; / C o l u m n & g t ; & l t ; L a y e d O u t & g t ; t r u e & l t ; / L a y e d O u t & g t ; & l t ; / a : V a l u e & g t ; & l t ; / a : K e y V a l u e O f D i a g r a m O b j e c t K e y a n y T y p e z b w N T n L X & g t ; & l t ; a : K e y V a l u e O f D i a g r a m O b j e c t K e y a n y T y p e z b w N T n L X & g t ; & l t ; a : K e y & g t ; & l t ; K e y & g t ; C o l u m n s \ C o l u m n 3 1 3 & l t ; / K e y & g t ; & l t ; / a : K e y & g t ; & l t ; a : V a l u e   i : t y p e = " M e a s u r e G r i d N o d e V i e w S t a t e " & g t ; & l t ; C o l u m n & g t ; 3 1 2 & l t ; / C o l u m n & g t ; & l t ; L a y e d O u t & g t ; t r u e & l t ; / L a y e d O u t & g t ; & l t ; / a : V a l u e & g t ; & l t ; / a : K e y V a l u e O f D i a g r a m O b j e c t K e y a n y T y p e z b w N T n L X & g t ; & l t ; a : K e y V a l u e O f D i a g r a m O b j e c t K e y a n y T y p e z b w N T n L X & g t ; & l t ; a : K e y & g t ; & l t ; K e y & g t ; C o l u m n s \ C o l u m n 3 1 4 & l t ; / K e y & g t ; & l t ; / a : K e y & g t ; & l t ; a : V a l u e   i : t y p e = " M e a s u r e G r i d N o d e V i e w S t a t e " & g t ; & l t ; C o l u m n & g t ; 3 1 3 & l t ; / C o l u m n & g t ; & l t ; L a y e d O u t & g t ; t r u e & l t ; / L a y e d O u t & g t ; & l t ; / a : V a l u e & g t ; & l t ; / a : K e y V a l u e O f D i a g r a m O b j e c t K e y a n y T y p e z b w N T n L X & g t ; & l t ; a : K e y V a l u e O f D i a g r a m O b j e c t K e y a n y T y p e z b w N T n L X & g t ; & l t ; a : K e y & g t ; & l t ; K e y & g t ; C o l u m n s \ C o l u m n 3 1 5 & l t ; / K e y & g t ; & l t ; / a : K e y & g t ; & l t ; a : V a l u e   i : t y p e = " M e a s u r e G r i d N o d e V i e w S t a t e " & g t ; & l t ; C o l u m n & g t ; 3 1 4 & l t ; / C o l u m n & g t ; & l t ; L a y e d O u t & g t ; t r u e & l t ; / L a y e d O u t & g t ; & l t ; / a : V a l u e & g t ; & l t ; / a : K e y V a l u e O f D i a g r a m O b j e c t K e y a n y T y p e z b w N T n L X & g t ; & l t ; a : K e y V a l u e O f D i a g r a m O b j e c t K e y a n y T y p e z b w N T n L X & g t ; & l t ; a : K e y & g t ; & l t ; K e y & g t ; C o l u m n s \ C o l u m n 3 1 6 & l t ; / K e y & g t ; & l t ; / a : K e y & g t ; & l t ; a : V a l u e   i : t y p e = " M e a s u r e G r i d N o d e V i e w S t a t e " & g t ; & l t ; C o l u m n & g t ; 3 1 5 & l t ; / C o l u m n & g t ; & l t ; L a y e d O u t & g t ; t r u e & l t ; / L a y e d O u t & g t ; & l t ; / a : V a l u e & g t ; & l t ; / a : K e y V a l u e O f D i a g r a m O b j e c t K e y a n y T y p e z b w N T n L X & g t ; & l t ; a : K e y V a l u e O f D i a g r a m O b j e c t K e y a n y T y p e z b w N T n L X & g t ; & l t ; a : K e y & g t ; & l t ; K e y & g t ; C o l u m n s \ C o l u m n 3 1 7 & l t ; / K e y & g t ; & l t ; / a : K e y & g t ; & l t ; a : V a l u e   i : t y p e = " M e a s u r e G r i d N o d e V i e w S t a t e " & g t ; & l t ; C o l u m n & g t ; 3 1 6 & l t ; / C o l u m n & g t ; & l t ; L a y e d O u t & g t ; t r u e & l t ; / L a y e d O u t & g t ; & l t ; / a : V a l u e & g t ; & l t ; / a : K e y V a l u e O f D i a g r a m O b j e c t K e y a n y T y p e z b w N T n L X & g t ; & l t ; a : K e y V a l u e O f D i a g r a m O b j e c t K e y a n y T y p e z b w N T n L X & g t ; & l t ; a : K e y & g t ; & l t ; K e y & g t ; C o l u m n s \ C o l u m n 3 1 8 & l t ; / K e y & g t ; & l t ; / a : K e y & g t ; & l t ; a : V a l u e   i : t y p e = " M e a s u r e G r i d N o d e V i e w S t a t e " & g t ; & l t ; C o l u m n & g t ; 3 1 7 & l t ; / C o l u m n & g t ; & l t ; L a y e d O u t & g t ; t r u e & l t ; / L a y e d O u t & g t ; & l t ; / a : V a l u e & g t ; & l t ; / a : K e y V a l u e O f D i a g r a m O b j e c t K e y a n y T y p e z b w N T n L X & g t ; & l t ; a : K e y V a l u e O f D i a g r a m O b j e c t K e y a n y T y p e z b w N T n L X & g t ; & l t ; a : K e y & g t ; & l t ; K e y & g t ; C o l u m n s \ C o l u m n 3 1 9 & l t ; / K e y & g t ; & l t ; / a : K e y & g t ; & l t ; a : V a l u e   i : t y p e = " M e a s u r e G r i d N o d e V i e w S t a t e " & g t ; & l t ; C o l u m n & g t ; 3 1 8 & l t ; / C o l u m n & g t ; & l t ; L a y e d O u t & g t ; t r u e & l t ; / L a y e d O u t & g t ; & l t ; / a : V a l u e & g t ; & l t ; / a : K e y V a l u e O f D i a g r a m O b j e c t K e y a n y T y p e z b w N T n L X & g t ; & l t ; a : K e y V a l u e O f D i a g r a m O b j e c t K e y a n y T y p e z b w N T n L X & g t ; & l t ; a : K e y & g t ; & l t ; K e y & g t ; C o l u m n s \ C o l u m n 3 2 0 & l t ; / K e y & g t ; & l t ; / a : K e y & g t ; & l t ; a : V a l u e   i : t y p e = " M e a s u r e G r i d N o d e V i e w S t a t e " & g t ; & l t ; C o l u m n & g t ; 3 1 9 & l t ; / C o l u m n & g t ; & l t ; L a y e d O u t & g t ; t r u e & l t ; / L a y e d O u t & g t ; & l t ; / a : V a l u e & g t ; & l t ; / a : K e y V a l u e O f D i a g r a m O b j e c t K e y a n y T y p e z b w N T n L X & g t ; & l t ; a : K e y V a l u e O f D i a g r a m O b j e c t K e y a n y T y p e z b w N T n L X & g t ; & l t ; a : K e y & g t ; & l t ; K e y & g t ; C o l u m n s \ C o l u m n 3 2 1 & l t ; / K e y & g t ; & l t ; / a : K e y & g t ; & l t ; a : V a l u e   i : t y p e = " M e a s u r e G r i d N o d e V i e w S t a t e " & g t ; & l t ; C o l u m n & g t ; 3 2 0 & l t ; / C o l u m n & g t ; & l t ; L a y e d O u t & g t ; t r u e & l t ; / L a y e d O u t & g t ; & l t ; / a : V a l u e & g t ; & l t ; / a : K e y V a l u e O f D i a g r a m O b j e c t K e y a n y T y p e z b w N T n L X & g t ; & l t ; a : K e y V a l u e O f D i a g r a m O b j e c t K e y a n y T y p e z b w N T n L X & g t ; & l t ; a : K e y & g t ; & l t ; K e y & g t ; C o l u m n s \ C o l u m n 3 2 2 & l t ; / K e y & g t ; & l t ; / a : K e y & g t ; & l t ; a : V a l u e   i : t y p e = " M e a s u r e G r i d N o d e V i e w S t a t e " & g t ; & l t ; C o l u m n & g t ; 3 2 1 & l t ; / C o l u m n & g t ; & l t ; L a y e d O u t & g t ; t r u e & l t ; / L a y e d O u t & g t ; & l t ; / a : V a l u e & g t ; & l t ; / a : K e y V a l u e O f D i a g r a m O b j e c t K e y a n y T y p e z b w N T n L X & g t ; & l t ; a : K e y V a l u e O f D i a g r a m O b j e c t K e y a n y T y p e z b w N T n L X & g t ; & l t ; a : K e y & g t ; & l t ; K e y & g t ; C o l u m n s \ C o l u m n 3 2 3 & l t ; / K e y & g t ; & l t ; / a : K e y & g t ; & l t ; a : V a l u e   i : t y p e = " M e a s u r e G r i d N o d e V i e w S t a t e " & g t ; & l t ; C o l u m n & g t ; 3 2 2 & l t ; / C o l u m n & g t ; & l t ; L a y e d O u t & g t ; t r u e & l t ; / L a y e d O u t & g t ; & l t ; / a : V a l u e & g t ; & l t ; / a : K e y V a l u e O f D i a g r a m O b j e c t K e y a n y T y p e z b w N T n L X & g t ; & l t ; a : K e y V a l u e O f D i a g r a m O b j e c t K e y a n y T y p e z b w N T n L X & g t ; & l t ; a : K e y & g t ; & l t ; K e y & g t ; C o l u m n s \ C o l u m n 3 2 4 & l t ; / K e y & g t ; & l t ; / a : K e y & g t ; & l t ; a : V a l u e   i : t y p e = " M e a s u r e G r i d N o d e V i e w S t a t e " & g t ; & l t ; C o l u m n & g t ; 3 2 3 & l t ; / C o l u m n & g t ; & l t ; L a y e d O u t & g t ; t r u e & l t ; / L a y e d O u t & g t ; & l t ; / a : V a l u e & g t ; & l t ; / a : K e y V a l u e O f D i a g r a m O b j e c t K e y a n y T y p e z b w N T n L X & g t ; & l t ; a : K e y V a l u e O f D i a g r a m O b j e c t K e y a n y T y p e z b w N T n L X & g t ; & l t ; a : K e y & g t ; & l t ; K e y & g t ; C o l u m n s \ C o l u m n 3 2 5 & l t ; / K e y & g t ; & l t ; / a : K e y & g t ; & l t ; a : V a l u e   i : t y p e = " M e a s u r e G r i d N o d e V i e w S t a t e " & g t ; & l t ; C o l u m n & g t ; 3 2 4 & l t ; / C o l u m n & g t ; & l t ; L a y e d O u t & g t ; t r u e & l t ; / L a y e d O u t & g t ; & l t ; / a : V a l u e & g t ; & l t ; / a : K e y V a l u e O f D i a g r a m O b j e c t K e y a n y T y p e z b w N T n L X & g t ; & l t ; a : K e y V a l u e O f D i a g r a m O b j e c t K e y a n y T y p e z b w N T n L X & g t ; & l t ; a : K e y & g t ; & l t ; K e y & g t ; C o l u m n s \ C o l u m n 3 2 6 & l t ; / K e y & g t ; & l t ; / a : K e y & g t ; & l t ; a : V a l u e   i : t y p e = " M e a s u r e G r i d N o d e V i e w S t a t e " & g t ; & l t ; C o l u m n & g t ; 3 2 5 & l t ; / C o l u m n & g t ; & l t ; L a y e d O u t & g t ; t r u e & l t ; / L a y e d O u t & g t ; & l t ; / a : V a l u e & g t ; & l t ; / a : K e y V a l u e O f D i a g r a m O b j e c t K e y a n y T y p e z b w N T n L X & g t ; & l t ; a : K e y V a l u e O f D i a g r a m O b j e c t K e y a n y T y p e z b w N T n L X & g t ; & l t ; a : K e y & g t ; & l t ; K e y & g t ; C o l u m n s \ C o l u m n 3 2 7 & l t ; / K e y & g t ; & l t ; / a : K e y & g t ; & l t ; a : V a l u e   i : t y p e = " M e a s u r e G r i d N o d e V i e w S t a t e " & g t ; & l t ; C o l u m n & g t ; 3 2 6 & l t ; / C o l u m n & g t ; & l t ; L a y e d O u t & g t ; t r u e & l t ; / L a y e d O u t & g t ; & l t ; / a : V a l u e & g t ; & l t ; / a : K e y V a l u e O f D i a g r a m O b j e c t K e y a n y T y p e z b w N T n L X & g t ; & l t ; a : K e y V a l u e O f D i a g r a m O b j e c t K e y a n y T y p e z b w N T n L X & g t ; & l t ; a : K e y & g t ; & l t ; K e y & g t ; C o l u m n s \ C o l u m n 3 2 8 & l t ; / K e y & g t ; & l t ; / a : K e y & g t ; & l t ; a : V a l u e   i : t y p e = " M e a s u r e G r i d N o d e V i e w S t a t e " & g t ; & l t ; C o l u m n & g t ; 3 2 7 & l t ; / C o l u m n & g t ; & l t ; L a y e d O u t & g t ; t r u e & l t ; / L a y e d O u t & g t ; & l t ; / a : V a l u e & g t ; & l t ; / a : K e y V a l u e O f D i a g r a m O b j e c t K e y a n y T y p e z b w N T n L X & g t ; & l t ; a : K e y V a l u e O f D i a g r a m O b j e c t K e y a n y T y p e z b w N T n L X & g t ; & l t ; a : K e y & g t ; & l t ; K e y & g t ; C o l u m n s \ C o l u m n 3 2 9 & l t ; / K e y & g t ; & l t ; / a : K e y & g t ; & l t ; a : V a l u e   i : t y p e = " M e a s u r e G r i d N o d e V i e w S t a t e " & g t ; & l t ; C o l u m n & g t ; 3 2 8 & l t ; / C o l u m n & g t ; & l t ; L a y e d O u t & g t ; t r u e & l t ; / L a y e d O u t & g t ; & l t ; / a : V a l u e & g t ; & l t ; / a : K e y V a l u e O f D i a g r a m O b j e c t K e y a n y T y p e z b w N T n L X & g t ; & l t ; a : K e y V a l u e O f D i a g r a m O b j e c t K e y a n y T y p e z b w N T n L X & g t ; & l t ; a : K e y & g t ; & l t ; K e y & g t ; C o l u m n s \ C o l u m n 3 3 0 & l t ; / K e y & g t ; & l t ; / a : K e y & g t ; & l t ; a : V a l u e   i : t y p e = " M e a s u r e G r i d N o d e V i e w S t a t e " & g t ; & l t ; C o l u m n & g t ; 3 2 9 & l t ; / C o l u m n & g t ; & l t ; L a y e d O u t & g t ; t r u e & l t ; / L a y e d O u t & g t ; & l t ; / a : V a l u e & g t ; & l t ; / a : K e y V a l u e O f D i a g r a m O b j e c t K e y a n y T y p e z b w N T n L X & g t ; & l t ; a : K e y V a l u e O f D i a g r a m O b j e c t K e y a n y T y p e z b w N T n L X & g t ; & l t ; a : K e y & g t ; & l t ; K e y & g t ; C o l u m n s \ C o l u m n 3 3 1 & l t ; / K e y & g t ; & l t ; / a : K e y & g t ; & l t ; a : V a l u e   i : t y p e = " M e a s u r e G r i d N o d e V i e w S t a t e " & g t ; & l t ; C o l u m n & g t ; 3 3 0 & l t ; / C o l u m n & g t ; & l t ; L a y e d O u t & g t ; t r u e & l t ; / L a y e d O u t & g t ; & l t ; / a : V a l u e & g t ; & l t ; / a : K e y V a l u e O f D i a g r a m O b j e c t K e y a n y T y p e z b w N T n L X & g t ; & l t ; a : K e y V a l u e O f D i a g r a m O b j e c t K e y a n y T y p e z b w N T n L X & g t ; & l t ; a : K e y & g t ; & l t ; K e y & g t ; C o l u m n s \ C o l u m n 3 3 2 & l t ; / K e y & g t ; & l t ; / a : K e y & g t ; & l t ; a : V a l u e   i : t y p e = " M e a s u r e G r i d N o d e V i e w S t a t e " & g t ; & l t ; C o l u m n & g t ; 3 3 1 & l t ; / C o l u m n & g t ; & l t ; L a y e d O u t & g t ; t r u e & l t ; / L a y e d O u t & g t ; & l t ; / a : V a l u e & g t ; & l t ; / a : K e y V a l u e O f D i a g r a m O b j e c t K e y a n y T y p e z b w N T n L X & g t ; & l t ; a : K e y V a l u e O f D i a g r a m O b j e c t K e y a n y T y p e z b w N T n L X & g t ; & l t ; a : K e y & g t ; & l t ; K e y & g t ; C o l u m n s \ C o l u m n 3 3 3 & l t ; / K e y & g t ; & l t ; / a : K e y & g t ; & l t ; a : V a l u e   i : t y p e = " M e a s u r e G r i d N o d e V i e w S t a t e " & g t ; & l t ; C o l u m n & g t ; 3 3 2 & l t ; / C o l u m n & g t ; & l t ; L a y e d O u t & g t ; t r u e & l t ; / L a y e d O u t & g t ; & l t ; / a : V a l u e & g t ; & l t ; / a : K e y V a l u e O f D i a g r a m O b j e c t K e y a n y T y p e z b w N T n L X & g t ; & l t ; a : K e y V a l u e O f D i a g r a m O b j e c t K e y a n y T y p e z b w N T n L X & g t ; & l t ; a : K e y & g t ; & l t ; K e y & g t ; C o l u m n s \ C o l u m n 3 3 4 & l t ; / K e y & g t ; & l t ; / a : K e y & g t ; & l t ; a : V a l u e   i : t y p e = " M e a s u r e G r i d N o d e V i e w S t a t e " & g t ; & l t ; C o l u m n & g t ; 3 3 3 & l t ; / C o l u m n & g t ; & l t ; L a y e d O u t & g t ; t r u e & l t ; / L a y e d O u t & g t ; & l t ; / a : V a l u e & g t ; & l t ; / a : K e y V a l u e O f D i a g r a m O b j e c t K e y a n y T y p e z b w N T n L X & g t ; & l t ; a : K e y V a l u e O f D i a g r a m O b j e c t K e y a n y T y p e z b w N T n L X & g t ; & l t ; a : K e y & g t ; & l t ; K e y & g t ; C o l u m n s \ C o l u m n 3 3 5 & l t ; / K e y & g t ; & l t ; / a : K e y & g t ; & l t ; a : V a l u e   i : t y p e = " M e a s u r e G r i d N o d e V i e w S t a t e " & g t ; & l t ; C o l u m n & g t ; 3 3 4 & l t ; / C o l u m n & g t ; & l t ; L a y e d O u t & g t ; t r u e & l t ; / L a y e d O u t & g t ; & l t ; / a : V a l u e & g t ; & l t ; / a : K e y V a l u e O f D i a g r a m O b j e c t K e y a n y T y p e z b w N T n L X & g t ; & l t ; a : K e y V a l u e O f D i a g r a m O b j e c t K e y a n y T y p e z b w N T n L X & g t ; & l t ; a : K e y & g t ; & l t ; K e y & g t ; C o l u m n s \ C o l u m n 3 3 6 & l t ; / K e y & g t ; & l t ; / a : K e y & g t ; & l t ; a : V a l u e   i : t y p e = " M e a s u r e G r i d N o d e V i e w S t a t e " & g t ; & l t ; C o l u m n & g t ; 3 3 5 & l t ; / C o l u m n & g t ; & l t ; L a y e d O u t & g t ; t r u e & l t ; / L a y e d O u t & g t ; & l t ; / a : V a l u e & g t ; & l t ; / a : K e y V a l u e O f D i a g r a m O b j e c t K e y a n y T y p e z b w N T n L X & g t ; & l t ; a : K e y V a l u e O f D i a g r a m O b j e c t K e y a n y T y p e z b w N T n L X & g t ; & l t ; a : K e y & g t ; & l t ; K e y & g t ; C o l u m n s \ C o l u m n 3 3 7 & l t ; / K e y & g t ; & l t ; / a : K e y & g t ; & l t ; a : V a l u e   i : t y p e = " M e a s u r e G r i d N o d e V i e w S t a t e " & g t ; & l t ; C o l u m n & g t ; 3 3 6 & l t ; / C o l u m n & g t ; & l t ; L a y e d O u t & g t ; t r u e & l t ; / L a y e d O u t & g t ; & l t ; / a : V a l u e & g t ; & l t ; / a : K e y V a l u e O f D i a g r a m O b j e c t K e y a n y T y p e z b w N T n L X & g t ; & l t ; a : K e y V a l u e O f D i a g r a m O b j e c t K e y a n y T y p e z b w N T n L X & g t ; & l t ; a : K e y & g t ; & l t ; K e y & g t ; C o l u m n s \ C o l u m n 3 3 8 & l t ; / K e y & g t ; & l t ; / a : K e y & g t ; & l t ; a : V a l u e   i : t y p e = " M e a s u r e G r i d N o d e V i e w S t a t e " & g t ; & l t ; C o l u m n & g t ; 3 3 7 & l t ; / C o l u m n & g t ; & l t ; L a y e d O u t & g t ; t r u e & l t ; / L a y e d O u t & g t ; & l t ; / a : V a l u e & g t ; & l t ; / a : K e y V a l u e O f D i a g r a m O b j e c t K e y a n y T y p e z b w N T n L X & g t ; & l t ; a : K e y V a l u e O f D i a g r a m O b j e c t K e y a n y T y p e z b w N T n L X & g t ; & l t ; a : K e y & g t ; & l t ; K e y & g t ; C o l u m n s \ C o l u m n 3 3 9 & l t ; / K e y & g t ; & l t ; / a : K e y & g t ; & l t ; a : V a l u e   i : t y p e = " M e a s u r e G r i d N o d e V i e w S t a t e " & g t ; & l t ; C o l u m n & g t ; 3 3 8 & l t ; / C o l u m n & g t ; & l t ; L a y e d O u t & g t ; t r u e & l t ; / L a y e d O u t & g t ; & l t ; / a : V a l u e & g t ; & l t ; / a : K e y V a l u e O f D i a g r a m O b j e c t K e y a n y T y p e z b w N T n L X & g t ; & l t ; a : K e y V a l u e O f D i a g r a m O b j e c t K e y a n y T y p e z b w N T n L X & g t ; & l t ; a : K e y & g t ; & l t ; K e y & g t ; C o l u m n s \ C o l u m n 3 4 0 & l t ; / K e y & g t ; & l t ; / a : K e y & g t ; & l t ; a : V a l u e   i : t y p e = " M e a s u r e G r i d N o d e V i e w S t a t e " & g t ; & l t ; C o l u m n & g t ; 3 3 9 & l t ; / C o l u m n & g t ; & l t ; L a y e d O u t & g t ; t r u e & l t ; / L a y e d O u t & g t ; & l t ; / a : V a l u e & g t ; & l t ; / a : K e y V a l u e O f D i a g r a m O b j e c t K e y a n y T y p e z b w N T n L X & g t ; & l t ; a : K e y V a l u e O f D i a g r a m O b j e c t K e y a n y T y p e z b w N T n L X & g t ; & l t ; a : K e y & g t ; & l t ; K e y & g t ; C o l u m n s \ C o l u m n 3 4 1 & l t ; / K e y & g t ; & l t ; / a : K e y & g t ; & l t ; a : V a l u e   i : t y p e = " M e a s u r e G r i d N o d e V i e w S t a t e " & g t ; & l t ; C o l u m n & g t ; 3 4 0 & l t ; / C o l u m n & g t ; & l t ; L a y e d O u t & g t ; t r u e & l t ; / L a y e d O u t & g t ; & l t ; / a : V a l u e & g t ; & l t ; / a : K e y V a l u e O f D i a g r a m O b j e c t K e y a n y T y p e z b w N T n L X & g t ; & l t ; a : K e y V a l u e O f D i a g r a m O b j e c t K e y a n y T y p e z b w N T n L X & g t ; & l t ; a : K e y & g t ; & l t ; K e y & g t ; C o l u m n s \ C o l u m n 3 4 2 & l t ; / K e y & g t ; & l t ; / a : K e y & g t ; & l t ; a : V a l u e   i : t y p e = " M e a s u r e G r i d N o d e V i e w S t a t e " & g t ; & l t ; C o l u m n & g t ; 3 4 1 & l t ; / C o l u m n & g t ; & l t ; L a y e d O u t & g t ; t r u e & l t ; / L a y e d O u t & g t ; & l t ; / a : V a l u e & g t ; & l t ; / a : K e y V a l u e O f D i a g r a m O b j e c t K e y a n y T y p e z b w N T n L X & g t ; & l t ; a : K e y V a l u e O f D i a g r a m O b j e c t K e y a n y T y p e z b w N T n L X & g t ; & l t ; a : K e y & g t ; & l t ; K e y & g t ; C o l u m n s \ C o l u m n 3 4 3 & l t ; / K e y & g t ; & l t ; / a : K e y & g t ; & l t ; a : V a l u e   i : t y p e = " M e a s u r e G r i d N o d e V i e w S t a t e " & g t ; & l t ; C o l u m n & g t ; 3 4 2 & l t ; / C o l u m n & g t ; & l t ; L a y e d O u t & g t ; t r u e & l t ; / L a y e d O u t & g t ; & l t ; / a : V a l u e & g t ; & l t ; / a : K e y V a l u e O f D i a g r a m O b j e c t K e y a n y T y p e z b w N T n L X & g t ; & l t ; a : K e y V a l u e O f D i a g r a m O b j e c t K e y a n y T y p e z b w N T n L X & g t ; & l t ; a : K e y & g t ; & l t ; K e y & g t ; C o l u m n s \ C o l u m n 3 4 4 & l t ; / K e y & g t ; & l t ; / a : K e y & g t ; & l t ; a : V a l u e   i : t y p e = " M e a s u r e G r i d N o d e V i e w S t a t e " & g t ; & l t ; C o l u m n & g t ; 3 4 3 & l t ; / C o l u m n & g t ; & l t ; L a y e d O u t & g t ; t r u e & l t ; / L a y e d O u t & g t ; & l t ; / a : V a l u e & g t ; & l t ; / a : K e y V a l u e O f D i a g r a m O b j e c t K e y a n y T y p e z b w N T n L X & g t ; & l t ; a : K e y V a l u e O f D i a g r a m O b j e c t K e y a n y T y p e z b w N T n L X & g t ; & l t ; a : K e y & g t ; & l t ; K e y & g t ; C o l u m n s \ C o l u m n 3 4 5 & l t ; / K e y & g t ; & l t ; / a : K e y & g t ; & l t ; a : V a l u e   i : t y p e = " M e a s u r e G r i d N o d e V i e w S t a t e " & g t ; & l t ; C o l u m n & g t ; 3 4 4 & l t ; / C o l u m n & g t ; & l t ; L a y e d O u t & g t ; t r u e & l t ; / L a y e d O u t & g t ; & l t ; / a : V a l u e & g t ; & l t ; / a : K e y V a l u e O f D i a g r a m O b j e c t K e y a n y T y p e z b w N T n L X & g t ; & l t ; a : K e y V a l u e O f D i a g r a m O b j e c t K e y a n y T y p e z b w N T n L X & g t ; & l t ; a : K e y & g t ; & l t ; K e y & g t ; C o l u m n s \ C o l u m n 3 4 6 & l t ; / K e y & g t ; & l t ; / a : K e y & g t ; & l t ; a : V a l u e   i : t y p e = " M e a s u r e G r i d N o d e V i e w S t a t e " & g t ; & l t ; C o l u m n & g t ; 3 4 5 & l t ; / C o l u m n & g t ; & l t ; L a y e d O u t & g t ; t r u e & l t ; / L a y e d O u t & g t ; & l t ; / a : V a l u e & g t ; & l t ; / a : K e y V a l u e O f D i a g r a m O b j e c t K e y a n y T y p e z b w N T n L X & g t ; & l t ; a : K e y V a l u e O f D i a g r a m O b j e c t K e y a n y T y p e z b w N T n L X & g t ; & l t ; a : K e y & g t ; & l t ; K e y & g t ; C o l u m n s \ C o l u m n 3 4 7 & l t ; / K e y & g t ; & l t ; / a : K e y & g t ; & l t ; a : V a l u e   i : t y p e = " M e a s u r e G r i d N o d e V i e w S t a t e " & g t ; & l t ; C o l u m n & g t ; 3 4 6 & l t ; / C o l u m n & g t ; & l t ; L a y e d O u t & g t ; t r u e & l t ; / L a y e d O u t & g t ; & l t ; / a : V a l u e & g t ; & l t ; / a : K e y V a l u e O f D i a g r a m O b j e c t K e y a n y T y p e z b w N T n L X & g t ; & l t ; a : K e y V a l u e O f D i a g r a m O b j e c t K e y a n y T y p e z b w N T n L X & g t ; & l t ; a : K e y & g t ; & l t ; K e y & g t ; C o l u m n s \ C o l u m n 3 4 8 & l t ; / K e y & g t ; & l t ; / a : K e y & g t ; & l t ; a : V a l u e   i : t y p e = " M e a s u r e G r i d N o d e V i e w S t a t e " & g t ; & l t ; C o l u m n & g t ; 3 4 7 & l t ; / C o l u m n & g t ; & l t ; L a y e d O u t & g t ; t r u e & l t ; / L a y e d O u t & g t ; & l t ; / a : V a l u e & g t ; & l t ; / a : K e y V a l u e O f D i a g r a m O b j e c t K e y a n y T y p e z b w N T n L X & g t ; & l t ; a : K e y V a l u e O f D i a g r a m O b j e c t K e y a n y T y p e z b w N T n L X & g t ; & l t ; a : K e y & g t ; & l t ; K e y & g t ; C o l u m n s \ C o l u m n 3 4 9 & l t ; / K e y & g t ; & l t ; / a : K e y & g t ; & l t ; a : V a l u e   i : t y p e = " M e a s u r e G r i d N o d e V i e w S t a t e " & g t ; & l t ; C o l u m n & g t ; 3 4 8 & l t ; / C o l u m n & g t ; & l t ; L a y e d O u t & g t ; t r u e & l t ; / L a y e d O u t & g t ; & l t ; / a : V a l u e & g t ; & l t ; / a : K e y V a l u e O f D i a g r a m O b j e c t K e y a n y T y p e z b w N T n L X & g t ; & l t ; a : K e y V a l u e O f D i a g r a m O b j e c t K e y a n y T y p e z b w N T n L X & g t ; & l t ; a : K e y & g t ; & l t ; K e y & g t ; C o l u m n s \ C o l u m n 3 5 0 & l t ; / K e y & g t ; & l t ; / a : K e y & g t ; & l t ; a : V a l u e   i : t y p e = " M e a s u r e G r i d N o d e V i e w S t a t e " & g t ; & l t ; C o l u m n & g t ; 3 4 9 & l t ; / C o l u m n & g t ; & l t ; L a y e d O u t & g t ; t r u e & l t ; / L a y e d O u t & g t ; & l t ; / a : V a l u e & g t ; & l t ; / a : K e y V a l u e O f D i a g r a m O b j e c t K e y a n y T y p e z b w N T n L X & g t ; & l t ; / V i e w S t a t e s & g t ; & l t ; / D i a g r a m M a n a g e r . S e r i a l i z a b l e D i a g r a m & g t ; & l t ; / A r r a y O f D i a g r a m M a n a g e r . S e r i a l i z a b l e D i a g r a m & g t ; < / C u s t o m C o n t e n t > < / G e m i n i > 
</file>

<file path=customXml/itemProps1.xml><?xml version="1.0" encoding="utf-8"?>
<ds:datastoreItem xmlns:ds="http://schemas.openxmlformats.org/officeDocument/2006/customXml" ds:itemID="{B3954E5A-9D45-49E4-AF07-C6AAFFA98E56}">
  <ds:schemaRefs/>
</ds:datastoreItem>
</file>

<file path=customXml/itemProps10.xml><?xml version="1.0" encoding="utf-8"?>
<ds:datastoreItem xmlns:ds="http://schemas.openxmlformats.org/officeDocument/2006/customXml" ds:itemID="{42E7B517-7796-4102-BEA6-B15D36BCDF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23aca2-667d-4ce8-9ec5-dae7228d75b0"/>
    <ds:schemaRef ds:uri="288e6360-7b82-4f53-b2a9-9b561cdd61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1.xml><?xml version="1.0" encoding="utf-8"?>
<ds:datastoreItem xmlns:ds="http://schemas.openxmlformats.org/officeDocument/2006/customXml" ds:itemID="{CEE7DD2D-0883-422B-B6C9-15DDAB49EE82}">
  <ds:schemaRefs/>
</ds:datastoreItem>
</file>

<file path=customXml/itemProps12.xml><?xml version="1.0" encoding="utf-8"?>
<ds:datastoreItem xmlns:ds="http://schemas.openxmlformats.org/officeDocument/2006/customXml" ds:itemID="{A7B70865-AB58-4089-81B7-24F42620AA43}">
  <ds:schemaRefs/>
</ds:datastoreItem>
</file>

<file path=customXml/itemProps13.xml><?xml version="1.0" encoding="utf-8"?>
<ds:datastoreItem xmlns:ds="http://schemas.openxmlformats.org/officeDocument/2006/customXml" ds:itemID="{3D39AB02-2777-42B7-9F59-7907B917645E}">
  <ds:schemaRefs/>
</ds:datastoreItem>
</file>

<file path=customXml/itemProps14.xml><?xml version="1.0" encoding="utf-8"?>
<ds:datastoreItem xmlns:ds="http://schemas.openxmlformats.org/officeDocument/2006/customXml" ds:itemID="{314F06DF-2FA4-4A0F-822B-284E79E80427}">
  <ds:schemaRefs>
    <ds:schemaRef ds:uri="http://purl.org/dc/terms/"/>
    <ds:schemaRef ds:uri="http://schemas.microsoft.com/office/infopath/2007/PartnerControls"/>
    <ds:schemaRef ds:uri="http://schemas.microsoft.com/office/2006/documentManagement/types"/>
    <ds:schemaRef ds:uri="288e6360-7b82-4f53-b2a9-9b561cdd61ca"/>
    <ds:schemaRef ds:uri="e323aca2-667d-4ce8-9ec5-dae7228d75b0"/>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15.xml><?xml version="1.0" encoding="utf-8"?>
<ds:datastoreItem xmlns:ds="http://schemas.openxmlformats.org/officeDocument/2006/customXml" ds:itemID="{EDAA7020-3E7B-487C-AB0F-4892A790987D}">
  <ds:schemaRefs/>
</ds:datastoreItem>
</file>

<file path=customXml/itemProps16.xml><?xml version="1.0" encoding="utf-8"?>
<ds:datastoreItem xmlns:ds="http://schemas.openxmlformats.org/officeDocument/2006/customXml" ds:itemID="{A39A3A44-D8CE-4F06-9616-A5E3DAC14C0E}">
  <ds:schemaRefs/>
</ds:datastoreItem>
</file>

<file path=customXml/itemProps17.xml><?xml version="1.0" encoding="utf-8"?>
<ds:datastoreItem xmlns:ds="http://schemas.openxmlformats.org/officeDocument/2006/customXml" ds:itemID="{AD54209C-2213-4EB2-8A8A-7C1E4DCAAB0A}">
  <ds:schemaRefs/>
</ds:datastoreItem>
</file>

<file path=customXml/itemProps18.xml><?xml version="1.0" encoding="utf-8"?>
<ds:datastoreItem xmlns:ds="http://schemas.openxmlformats.org/officeDocument/2006/customXml" ds:itemID="{D7CC9834-148C-48FC-AA5C-638F66E53BFB}">
  <ds:schemaRefs/>
</ds:datastoreItem>
</file>

<file path=customXml/itemProps19.xml><?xml version="1.0" encoding="utf-8"?>
<ds:datastoreItem xmlns:ds="http://schemas.openxmlformats.org/officeDocument/2006/customXml" ds:itemID="{01BD7892-E314-4BCE-B1B8-AF4CC17C4377}">
  <ds:schemaRefs/>
</ds:datastoreItem>
</file>

<file path=customXml/itemProps2.xml><?xml version="1.0" encoding="utf-8"?>
<ds:datastoreItem xmlns:ds="http://schemas.openxmlformats.org/officeDocument/2006/customXml" ds:itemID="{BD35E070-71E3-4788-B2D2-670BDAED7496}">
  <ds:schemaRefs/>
</ds:datastoreItem>
</file>

<file path=customXml/itemProps3.xml><?xml version="1.0" encoding="utf-8"?>
<ds:datastoreItem xmlns:ds="http://schemas.openxmlformats.org/officeDocument/2006/customXml" ds:itemID="{78CEAB83-0B3E-4D4B-8840-333407063409}">
  <ds:schemaRefs/>
</ds:datastoreItem>
</file>

<file path=customXml/itemProps4.xml><?xml version="1.0" encoding="utf-8"?>
<ds:datastoreItem xmlns:ds="http://schemas.openxmlformats.org/officeDocument/2006/customXml" ds:itemID="{48668F47-EC1C-4B7A-ACFB-554D1349857F}">
  <ds:schemaRefs/>
</ds:datastoreItem>
</file>

<file path=customXml/itemProps5.xml><?xml version="1.0" encoding="utf-8"?>
<ds:datastoreItem xmlns:ds="http://schemas.openxmlformats.org/officeDocument/2006/customXml" ds:itemID="{366957F5-F518-46BE-B7FE-3904519B09C6}">
  <ds:schemaRefs/>
</ds:datastoreItem>
</file>

<file path=customXml/itemProps6.xml><?xml version="1.0" encoding="utf-8"?>
<ds:datastoreItem xmlns:ds="http://schemas.openxmlformats.org/officeDocument/2006/customXml" ds:itemID="{6E82C2C0-8DBC-426C-B8ED-7A9BFDBC5F16}">
  <ds:schemaRefs/>
</ds:datastoreItem>
</file>

<file path=customXml/itemProps7.xml><?xml version="1.0" encoding="utf-8"?>
<ds:datastoreItem xmlns:ds="http://schemas.openxmlformats.org/officeDocument/2006/customXml" ds:itemID="{3AC3B1A3-D480-41B6-9506-A22C58EEE220}">
  <ds:schemaRefs>
    <ds:schemaRef ds:uri="http://schemas.microsoft.com/sharepoint/v3/contenttype/forms"/>
  </ds:schemaRefs>
</ds:datastoreItem>
</file>

<file path=customXml/itemProps8.xml><?xml version="1.0" encoding="utf-8"?>
<ds:datastoreItem xmlns:ds="http://schemas.openxmlformats.org/officeDocument/2006/customXml" ds:itemID="{228A589A-0C48-416B-AF95-CC36A8C75970}">
  <ds:schemaRefs/>
</ds:datastoreItem>
</file>

<file path=customXml/itemProps9.xml><?xml version="1.0" encoding="utf-8"?>
<ds:datastoreItem xmlns:ds="http://schemas.openxmlformats.org/officeDocument/2006/customXml" ds:itemID="{05021B50-259D-4869-A46B-EB6506C5B7E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50</vt:i4>
      </vt:variant>
    </vt:vector>
  </HeadingPairs>
  <TitlesOfParts>
    <vt:vector size="67" baseType="lpstr">
      <vt:lpstr>Classification</vt:lpstr>
      <vt:lpstr>Lookups</vt:lpstr>
      <vt:lpstr>BMScale</vt:lpstr>
      <vt:lpstr>InteractiveReadyReckoner</vt:lpstr>
      <vt:lpstr>MAT01_ConceptDesign</vt:lpstr>
      <vt:lpstr>MAT01_TechnicalDesign</vt:lpstr>
      <vt:lpstr>MAT02_EPDSchedule</vt:lpstr>
      <vt:lpstr>MAT01_FileStructureGuide</vt:lpstr>
      <vt:lpstr>ToolsRecognisedbyBREEAM</vt:lpstr>
      <vt:lpstr>DifferencesID2,3,4</vt:lpstr>
      <vt:lpstr>DifferencesID7,8,9,10</vt:lpstr>
      <vt:lpstr>DifferencesID12,13</vt:lpstr>
      <vt:lpstr>DifferencesID15,16</vt:lpstr>
      <vt:lpstr>oldShedule of changes ST</vt:lpstr>
      <vt:lpstr>oldShedule of changes RR</vt:lpstr>
      <vt:lpstr>Schedule of changes_RS</vt:lpstr>
      <vt:lpstr>Schedule of changes</vt:lpstr>
      <vt:lpstr>Building_type</vt:lpstr>
      <vt:lpstr>BUT</vt:lpstr>
      <vt:lpstr>BUTBenchmarks</vt:lpstr>
      <vt:lpstr>Class_P1</vt:lpstr>
      <vt:lpstr>Class_P2</vt:lpstr>
      <vt:lpstr>Class_P232</vt:lpstr>
      <vt:lpstr>Class_P3</vt:lpstr>
      <vt:lpstr>Class_P314</vt:lpstr>
      <vt:lpstr>Class_P33</vt:lpstr>
      <vt:lpstr>Class_P34</vt:lpstr>
      <vt:lpstr>Class_P4</vt:lpstr>
      <vt:lpstr>Class_P5</vt:lpstr>
      <vt:lpstr>Class_P6</vt:lpstr>
      <vt:lpstr>Class_P7</vt:lpstr>
      <vt:lpstr>Class_P8</vt:lpstr>
      <vt:lpstr>CreditsBMMinimum</vt:lpstr>
      <vt:lpstr>CreditsBMScale</vt:lpstr>
      <vt:lpstr>CreditsS2BM</vt:lpstr>
      <vt:lpstr>CreditsS2NoBM</vt:lpstr>
      <vt:lpstr>CreditsS4BM</vt:lpstr>
      <vt:lpstr>CreditsS4NoBM</vt:lpstr>
      <vt:lpstr>EPD</vt:lpstr>
      <vt:lpstr>EPDPoints</vt:lpstr>
      <vt:lpstr>FunctionalUnit</vt:lpstr>
      <vt:lpstr>Mat02_P1</vt:lpstr>
      <vt:lpstr>Mat02_P3</vt:lpstr>
      <vt:lpstr>Mat02_P34</vt:lpstr>
      <vt:lpstr>Mat02_P7</vt:lpstr>
      <vt:lpstr>Note_CD_Benchmark_file</vt:lpstr>
      <vt:lpstr>Note_DD_benchmark_file</vt:lpstr>
      <vt:lpstr>Note_No_CDBenchmark</vt:lpstr>
      <vt:lpstr>Note_No_DDBenchmark</vt:lpstr>
      <vt:lpstr>ProductCat</vt:lpstr>
      <vt:lpstr>ReasonForNotChoosing</vt:lpstr>
      <vt:lpstr>RecognisedTools</vt:lpstr>
      <vt:lpstr>RecognisedToolsBM</vt:lpstr>
      <vt:lpstr>RecognisedToolsEnvImpactComparisonUnit</vt:lpstr>
      <vt:lpstr>RecognisedToolsIndicatorsAndCaps</vt:lpstr>
      <vt:lpstr>RecognisedToolsRIBA4</vt:lpstr>
      <vt:lpstr>RIBAStage2Options</vt:lpstr>
      <vt:lpstr>RIBAStage2OptionsServ</vt:lpstr>
      <vt:lpstr>RIBAStage2SSandHLOptions</vt:lpstr>
      <vt:lpstr>RIBAStage3or4Options</vt:lpstr>
      <vt:lpstr>SelectedToolBM</vt:lpstr>
      <vt:lpstr>SelectedToolBMRIBAStage4</vt:lpstr>
      <vt:lpstr>SelectedToolEnvImpactComparionUnit</vt:lpstr>
      <vt:lpstr>SelectedToolOA</vt:lpstr>
      <vt:lpstr>SelectedToolOARIBAStage4</vt:lpstr>
      <vt:lpstr>SS_Bench_note</vt:lpstr>
      <vt:lpstr>SS_Scope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Doran</dc:creator>
  <cp:lastModifiedBy>Watts, Glen</cp:lastModifiedBy>
  <dcterms:created xsi:type="dcterms:W3CDTF">2017-01-25T15:02:43Z</dcterms:created>
  <dcterms:modified xsi:type="dcterms:W3CDTF">2020-02-16T22:22:05Z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0x010100081851FE5138754CBC10B0F1B0EB9FB9</vt:lpwstr>
  </property>
</Properties>
</file>